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Высшая лига 3 тур 2023\"/>
    </mc:Choice>
  </mc:AlternateContent>
  <bookViews>
    <workbookView xWindow="-105" yWindow="-105" windowWidth="33120" windowHeight="18000" tabRatio="758" firstSheet="5" activeTab="23"/>
  </bookViews>
  <sheets>
    <sheet name="Табло" sheetId="37" r:id="rId1"/>
    <sheet name="Список" sheetId="4" r:id="rId2"/>
    <sheet name="Общее расписание" sheetId="6" r:id="rId3"/>
    <sheet name="Таблица" sheetId="93" r:id="rId4"/>
    <sheet name="Заявка" sheetId="7" r:id="rId5"/>
    <sheet name="26" sheetId="76" r:id="rId6"/>
    <sheet name="27" sheetId="77" r:id="rId7"/>
    <sheet name="28" sheetId="71" r:id="rId8"/>
    <sheet name="29" sheetId="74" r:id="rId9"/>
    <sheet name="30" sheetId="75" r:id="rId10"/>
    <sheet name="31" sheetId="78" r:id="rId11"/>
    <sheet name="32" sheetId="79" r:id="rId12"/>
    <sheet name="33" sheetId="80" r:id="rId13"/>
    <sheet name="34" sheetId="81" r:id="rId14"/>
    <sheet name="35" sheetId="82" r:id="rId15"/>
    <sheet name="36" sheetId="83" r:id="rId16"/>
    <sheet name="37" sheetId="84" r:id="rId17"/>
    <sheet name="38" sheetId="85" r:id="rId18"/>
    <sheet name="39" sheetId="86" r:id="rId19"/>
    <sheet name="40" sheetId="87" r:id="rId20"/>
    <sheet name="41" sheetId="88" r:id="rId21"/>
    <sheet name="42" sheetId="89" r:id="rId22"/>
    <sheet name="43" sheetId="90" r:id="rId23"/>
    <sheet name="44" sheetId="91" r:id="rId24"/>
    <sheet name="45" sheetId="92" r:id="rId25"/>
    <sheet name="1" sheetId="67" r:id="rId26"/>
    <sheet name="2" sheetId="8" r:id="rId27"/>
    <sheet name="3" sheetId="9" r:id="rId28"/>
    <sheet name="4" sheetId="10" r:id="rId29"/>
    <sheet name="5" sheetId="5" r:id="rId30"/>
    <sheet name="6" sheetId="68" r:id="rId31"/>
    <sheet name="7" sheetId="30" r:id="rId32"/>
    <sheet name="8" sheetId="31" r:id="rId33"/>
    <sheet name="9" sheetId="28" r:id="rId34"/>
    <sheet name="10" sheetId="29" r:id="rId35"/>
    <sheet name="11" sheetId="13" r:id="rId36"/>
    <sheet name="12" sheetId="69" r:id="rId37"/>
    <sheet name="13" sheetId="14" r:id="rId38"/>
    <sheet name="14" sheetId="15" r:id="rId39"/>
    <sheet name="15" sheetId="16" r:id="rId40"/>
    <sheet name="16" sheetId="17" r:id="rId41"/>
    <sheet name="17" sheetId="19" r:id="rId42"/>
    <sheet name="18" sheetId="70" r:id="rId43"/>
    <sheet name="19" sheetId="20" r:id="rId44"/>
    <sheet name="20" sheetId="21" r:id="rId45"/>
    <sheet name="21" sheetId="23" r:id="rId46"/>
    <sheet name="22" sheetId="24" r:id="rId47"/>
    <sheet name="23" sheetId="25" r:id="rId48"/>
    <sheet name="24" sheetId="26" r:id="rId49"/>
    <sheet name="25" sheetId="72" r:id="rId50"/>
  </sheets>
  <externalReferences>
    <externalReference r:id="rId51"/>
  </externalReferences>
  <definedNames>
    <definedName name="Print_Area" localSheetId="25">'1'!$E$1:$EH$45</definedName>
    <definedName name="Print_Area" localSheetId="34">'10'!$E$1:$EH$45</definedName>
    <definedName name="Print_Area" localSheetId="35">'11'!$E$1:$EH$45</definedName>
    <definedName name="Print_Area" localSheetId="36">'12'!$E$1:$EH$45</definedName>
    <definedName name="Print_Area" localSheetId="37">'13'!$E$1:$EH$45</definedName>
    <definedName name="Print_Area" localSheetId="38">'14'!$E$1:$EH$45</definedName>
    <definedName name="Print_Area" localSheetId="39">'15'!$E$1:$EH$45</definedName>
    <definedName name="Print_Area" localSheetId="40">'16'!$E$1:$EH$45</definedName>
    <definedName name="Print_Area" localSheetId="41">'17'!$E$1:$EH$45</definedName>
    <definedName name="Print_Area" localSheetId="42">'18'!$E$1:$EH$45</definedName>
    <definedName name="Print_Area" localSheetId="43">'19'!$E$1:$EH$45</definedName>
    <definedName name="Print_Area" localSheetId="26">'2'!$E$1:$EH$45</definedName>
    <definedName name="Print_Area" localSheetId="44">'20'!$E$1:$EH$45</definedName>
    <definedName name="Print_Area" localSheetId="45">'21'!$E$1:$EH$45</definedName>
    <definedName name="Print_Area" localSheetId="46">'22'!$E$1:$EH$45</definedName>
    <definedName name="Print_Area" localSheetId="47">'23'!$E$1:$EH$45</definedName>
    <definedName name="Print_Area" localSheetId="48">'24'!$E$1:$EH$45</definedName>
    <definedName name="Print_Area" localSheetId="49">'25'!$E$1:$EH$45</definedName>
    <definedName name="Print_Area" localSheetId="5">'26'!$E$1:$EH$45</definedName>
    <definedName name="Print_Area" localSheetId="6">'27'!$E$1:$EH$45</definedName>
    <definedName name="Print_Area" localSheetId="7">'28'!$E$1:$EH$45</definedName>
    <definedName name="Print_Area" localSheetId="8">'29'!$E$1:$EH$45</definedName>
    <definedName name="Print_Area" localSheetId="27">'3'!$E$1:$EH$45</definedName>
    <definedName name="Print_Area" localSheetId="9">'30'!$E$1:$EH$45</definedName>
    <definedName name="Print_Area" localSheetId="10">'31'!$E$1:$EH$45</definedName>
    <definedName name="Print_Area" localSheetId="11">'32'!$E$1:$EH$45</definedName>
    <definedName name="Print_Area" localSheetId="12">'33'!$E$1:$EH$45</definedName>
    <definedName name="Print_Area" localSheetId="13">'34'!$E$1:$EH$45</definedName>
    <definedName name="Print_Area" localSheetId="14">'35'!$E$1:$EH$45</definedName>
    <definedName name="Print_Area" localSheetId="15">'36'!$E$1:$EH$45</definedName>
    <definedName name="Print_Area" localSheetId="16">'37'!$E$1:$EH$45</definedName>
    <definedName name="Print_Area" localSheetId="17">'38'!$E$1:$EH$45</definedName>
    <definedName name="Print_Area" localSheetId="18">'39'!$E$1:$EH$45</definedName>
    <definedName name="Print_Area" localSheetId="28">'4'!$E$1:$EH$45</definedName>
    <definedName name="Print_Area" localSheetId="19">'40'!$E$1:$EH$45</definedName>
    <definedName name="Print_Area" localSheetId="20">'41'!$E$1:$EH$45</definedName>
    <definedName name="Print_Area" localSheetId="21">'42'!$E$1:$EH$45</definedName>
    <definedName name="Print_Area" localSheetId="22">'43'!$E$1:$EH$45</definedName>
    <definedName name="Print_Area" localSheetId="23">'44'!$E$1:$EH$45</definedName>
    <definedName name="Print_Area" localSheetId="24">'45'!$E$1:$EH$45</definedName>
    <definedName name="Print_Area" localSheetId="29">'5'!$E$1:$EH$45</definedName>
    <definedName name="Print_Area" localSheetId="30">'6'!$E$1:$EH$45</definedName>
    <definedName name="Print_Area" localSheetId="31">'7'!$E$1:$EH$45</definedName>
    <definedName name="Print_Area" localSheetId="32">'8'!$E$1:$EH$45</definedName>
    <definedName name="Print_Area" localSheetId="33">'9'!$E$1:$EH$45</definedName>
    <definedName name="Print_Area" localSheetId="4">Заявка!$C$1:$W$50</definedName>
    <definedName name="Print_Area" localSheetId="2">'Общее расписание'!$C$1:$I$30</definedName>
    <definedName name="_xlnm.Print_Titles" localSheetId="1">Список!$5:$5</definedName>
    <definedName name="_xlnm.Print_Area" localSheetId="25">'1'!$AC$1:$HN$45</definedName>
    <definedName name="_xlnm.Print_Area" localSheetId="34">'10'!$AC$1:$HN$45</definedName>
    <definedName name="_xlnm.Print_Area" localSheetId="35">'11'!$AC$1:$HN$45</definedName>
    <definedName name="_xlnm.Print_Area" localSheetId="36">'12'!$AC$1:$HN$45</definedName>
    <definedName name="_xlnm.Print_Area" localSheetId="37">'13'!$AC$1:$HN$45</definedName>
    <definedName name="_xlnm.Print_Area" localSheetId="38">'14'!$AC$1:$HN$45</definedName>
    <definedName name="_xlnm.Print_Area" localSheetId="39">'15'!$AC$1:$HN$45</definedName>
    <definedName name="_xlnm.Print_Area" localSheetId="40">'16'!$AC$1:$HN$45</definedName>
    <definedName name="_xlnm.Print_Area" localSheetId="41">'17'!$AC$1:$HN$45</definedName>
    <definedName name="_xlnm.Print_Area" localSheetId="42">'18'!$AC$1:$HN$45</definedName>
    <definedName name="_xlnm.Print_Area" localSheetId="43">'19'!$AC$1:$HN$45</definedName>
    <definedName name="_xlnm.Print_Area" localSheetId="26">'2'!$AC$1:$HN$45</definedName>
    <definedName name="_xlnm.Print_Area" localSheetId="44">'20'!$AC$1:$HN$45</definedName>
    <definedName name="_xlnm.Print_Area" localSheetId="45">'21'!$AC$1:$HN$45</definedName>
    <definedName name="_xlnm.Print_Area" localSheetId="46">'22'!$AC$1:$HN$45</definedName>
    <definedName name="_xlnm.Print_Area" localSheetId="47">'23'!$AC$1:$HN$45</definedName>
    <definedName name="_xlnm.Print_Area" localSheetId="48">'24'!$AC$1:$HN$45</definedName>
    <definedName name="_xlnm.Print_Area" localSheetId="49">'25'!$AC$1:$HN$45</definedName>
    <definedName name="_xlnm.Print_Area" localSheetId="5">'26'!$AC$1:$HN$45</definedName>
    <definedName name="_xlnm.Print_Area" localSheetId="6">'27'!$AC$1:$HN$45</definedName>
    <definedName name="_xlnm.Print_Area" localSheetId="7">'28'!$AC$1:$HN$45</definedName>
    <definedName name="_xlnm.Print_Area" localSheetId="8">'29'!$AC$1:$HN$45</definedName>
    <definedName name="_xlnm.Print_Area" localSheetId="27">'3'!$AC$1:$HN$45</definedName>
    <definedName name="_xlnm.Print_Area" localSheetId="9">'30'!$AC$1:$HN$45</definedName>
    <definedName name="_xlnm.Print_Area" localSheetId="10">'31'!$AC$1:$HN$45</definedName>
    <definedName name="_xlnm.Print_Area" localSheetId="11">'32'!$AC$1:$HN$45</definedName>
    <definedName name="_xlnm.Print_Area" localSheetId="12">'33'!$AC$1:$HN$45</definedName>
    <definedName name="_xlnm.Print_Area" localSheetId="13">'34'!$AC$1:$HN$45</definedName>
    <definedName name="_xlnm.Print_Area" localSheetId="14">'35'!$AC$1:$HN$45</definedName>
    <definedName name="_xlnm.Print_Area" localSheetId="15">'36'!$AC$1:$HN$45</definedName>
    <definedName name="_xlnm.Print_Area" localSheetId="16">'37'!$AC$1:$HN$45</definedName>
    <definedName name="_xlnm.Print_Area" localSheetId="17">'38'!$AC$1:$HN$45</definedName>
    <definedName name="_xlnm.Print_Area" localSheetId="18">'39'!$AC$1:$HN$45</definedName>
    <definedName name="_xlnm.Print_Area" localSheetId="28">'4'!$AC$1:$HN$45</definedName>
    <definedName name="_xlnm.Print_Area" localSheetId="19">'40'!$AC$1:$HN$45</definedName>
    <definedName name="_xlnm.Print_Area" localSheetId="20">'41'!$AC$1:$HN$45</definedName>
    <definedName name="_xlnm.Print_Area" localSheetId="21">'42'!$AC$1:$HN$45</definedName>
    <definedName name="_xlnm.Print_Area" localSheetId="22">'43'!$AC$1:$HN$45</definedName>
    <definedName name="_xlnm.Print_Area" localSheetId="23">'44'!$AC$1:$HN$45</definedName>
    <definedName name="_xlnm.Print_Area" localSheetId="24">'45'!$AC$1:$HN$45</definedName>
    <definedName name="_xlnm.Print_Area" localSheetId="29">'5'!$AC$1:$HN$45</definedName>
    <definedName name="_xlnm.Print_Area" localSheetId="30">'6'!$AC$1:$HN$45</definedName>
    <definedName name="_xlnm.Print_Area" localSheetId="31">'7'!$AC$1:$HN$45</definedName>
    <definedName name="_xlnm.Print_Area" localSheetId="32">'8'!$AC$1:$HN$45</definedName>
    <definedName name="_xlnm.Print_Area" localSheetId="33">'9'!$AC$1:$HN$45</definedName>
    <definedName name="_xlnm.Print_Area" localSheetId="4">Заявка!$C$1:$W$50</definedName>
    <definedName name="_xlnm.Print_Area" localSheetId="2">'Общее расписание'!$B$1:$H$60</definedName>
    <definedName name="_xlnm.Print_Area" localSheetId="1">Список!$B$1:$J$95</definedName>
    <definedName name="_xlnm.Print_Area" localSheetId="3">Таблица!$B$2:$BH$26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17" i="26" l="1"/>
  <c r="D19" i="85" l="1"/>
  <c r="D19" i="79"/>
  <c r="D19" i="78"/>
  <c r="D19" i="77"/>
  <c r="D20" i="25"/>
  <c r="D19" i="25"/>
  <c r="B20" i="24"/>
  <c r="D20" i="23"/>
  <c r="D19" i="69"/>
  <c r="D19" i="28"/>
  <c r="D86" i="4"/>
  <c r="D95" i="4"/>
  <c r="E87" i="4"/>
  <c r="D77" i="4"/>
  <c r="D68" i="4"/>
  <c r="D59" i="4"/>
  <c r="D50" i="4"/>
  <c r="D41" i="4"/>
  <c r="D32" i="4"/>
  <c r="D23" i="4"/>
  <c r="D14" i="4"/>
  <c r="D20" i="67"/>
  <c r="EF3" i="37" l="1"/>
  <c r="EF14" i="37" s="1"/>
  <c r="EF25" i="37" s="1"/>
  <c r="EF36" i="37" s="1"/>
  <c r="EF47" i="37" s="1"/>
  <c r="D19" i="20" l="1"/>
  <c r="D20" i="28"/>
  <c r="B3" i="93" l="1"/>
  <c r="B2" i="93"/>
  <c r="C16" i="93"/>
  <c r="P7" i="6" l="1"/>
  <c r="Q7" i="6"/>
  <c r="Q8" i="6" s="1"/>
  <c r="Q9" i="6" l="1"/>
  <c r="B12" i="80"/>
  <c r="A9" i="86"/>
  <c r="A7" i="68"/>
  <c r="AC13" i="72"/>
  <c r="B12" i="75"/>
  <c r="EY72" i="92"/>
  <c r="BC72" i="92"/>
  <c r="HD42" i="92"/>
  <c r="IR20" i="92"/>
  <c r="IQ20" i="92"/>
  <c r="IM20" i="92"/>
  <c r="IL20" i="92"/>
  <c r="IH20" i="92"/>
  <c r="IG20" i="92"/>
  <c r="IF20" i="92"/>
  <c r="IE20" i="92"/>
  <c r="ID20" i="92"/>
  <c r="IC20" i="92"/>
  <c r="IB20" i="92"/>
  <c r="IA20" i="92"/>
  <c r="HZ20" i="92"/>
  <c r="HX20" i="92"/>
  <c r="HV20" i="92"/>
  <c r="HT20" i="92"/>
  <c r="GI20" i="92"/>
  <c r="GC20" i="92"/>
  <c r="GG20" i="92" s="1"/>
  <c r="FY20" i="92"/>
  <c r="FS20" i="92"/>
  <c r="FW20" i="92" s="1"/>
  <c r="FO20" i="92"/>
  <c r="IP20" i="92" s="1"/>
  <c r="FE20" i="92"/>
  <c r="IO20" i="92" s="1"/>
  <c r="N20" i="92"/>
  <c r="X20" i="92" s="1"/>
  <c r="M20" i="92"/>
  <c r="R20" i="92" s="1"/>
  <c r="L20" i="92"/>
  <c r="V20" i="92" s="1"/>
  <c r="K20" i="92"/>
  <c r="U20" i="92" s="1"/>
  <c r="J20" i="92"/>
  <c r="T20" i="92" s="1"/>
  <c r="Z20" i="92" s="1"/>
  <c r="GT20" i="92" s="1"/>
  <c r="D20" i="92"/>
  <c r="B20" i="92"/>
  <c r="IR19" i="92"/>
  <c r="IM19" i="92"/>
  <c r="IH19" i="92"/>
  <c r="IG19" i="92"/>
  <c r="IF19" i="92"/>
  <c r="IE19" i="92"/>
  <c r="GI19" i="92"/>
  <c r="GC19" i="92"/>
  <c r="GG19" i="92" s="1"/>
  <c r="N19" i="92"/>
  <c r="X19" i="92" s="1"/>
  <c r="M19" i="92"/>
  <c r="W19" i="92" s="1"/>
  <c r="L19" i="92"/>
  <c r="V19" i="92" s="1"/>
  <c r="K19" i="92"/>
  <c r="P19" i="92" s="1"/>
  <c r="J19" i="92"/>
  <c r="T19" i="92" s="1"/>
  <c r="D19" i="92"/>
  <c r="B19" i="92"/>
  <c r="IR18" i="92"/>
  <c r="IM18" i="92"/>
  <c r="IH18" i="92"/>
  <c r="IG18" i="92"/>
  <c r="IF18" i="92"/>
  <c r="IE18" i="92"/>
  <c r="GI18" i="92"/>
  <c r="GC18" i="92"/>
  <c r="GG18" i="92" s="1"/>
  <c r="N18" i="92"/>
  <c r="X18" i="92" s="1"/>
  <c r="M18" i="92"/>
  <c r="R18" i="92" s="1"/>
  <c r="L18" i="92"/>
  <c r="V18" i="92" s="1"/>
  <c r="K18" i="92"/>
  <c r="U18" i="92" s="1"/>
  <c r="J18" i="92"/>
  <c r="HR18" i="92" s="1"/>
  <c r="IR17" i="92"/>
  <c r="IM17" i="92"/>
  <c r="IH17" i="92"/>
  <c r="IG17" i="92"/>
  <c r="IF17" i="92"/>
  <c r="IE17" i="92"/>
  <c r="GI17" i="92"/>
  <c r="GC17" i="92"/>
  <c r="GG17" i="92" s="1"/>
  <c r="N17" i="92"/>
  <c r="X17" i="92" s="1"/>
  <c r="M17" i="92"/>
  <c r="R17" i="92" s="1"/>
  <c r="L17" i="92"/>
  <c r="V17" i="92" s="1"/>
  <c r="K17" i="92"/>
  <c r="U17" i="92" s="1"/>
  <c r="J17" i="92"/>
  <c r="T17" i="92" s="1"/>
  <c r="N16" i="92"/>
  <c r="X16" i="92" s="1"/>
  <c r="M16" i="92"/>
  <c r="IA16" i="92" s="1"/>
  <c r="L16" i="92"/>
  <c r="V16" i="92" s="1"/>
  <c r="K16" i="92"/>
  <c r="U16" i="92" s="1"/>
  <c r="J16" i="92"/>
  <c r="AC13" i="92"/>
  <c r="B12" i="92"/>
  <c r="A9" i="92"/>
  <c r="E61" i="92" s="1"/>
  <c r="E62" i="92" s="1"/>
  <c r="E63" i="92" s="1"/>
  <c r="E64" i="92" s="1"/>
  <c r="E65" i="92" s="1"/>
  <c r="E66" i="92" s="1"/>
  <c r="A8" i="92"/>
  <c r="A7" i="92"/>
  <c r="A6" i="92"/>
  <c r="A5" i="92"/>
  <c r="A4" i="92"/>
  <c r="E58" i="92" s="1"/>
  <c r="A3" i="92"/>
  <c r="E57" i="92" s="1"/>
  <c r="A2" i="92"/>
  <c r="EY72" i="91"/>
  <c r="BC72" i="91"/>
  <c r="HD42" i="91"/>
  <c r="IT20" i="91"/>
  <c r="IS20" i="91"/>
  <c r="IR20" i="91"/>
  <c r="IQ20" i="91"/>
  <c r="IP20" i="91"/>
  <c r="IO20" i="91"/>
  <c r="IN20" i="91"/>
  <c r="IM20" i="91"/>
  <c r="IL20" i="91"/>
  <c r="IK20" i="91"/>
  <c r="IJ20" i="91"/>
  <c r="II20" i="91"/>
  <c r="IH20" i="91"/>
  <c r="IG20" i="91"/>
  <c r="IF20" i="91"/>
  <c r="IE20" i="91"/>
  <c r="ID20" i="91"/>
  <c r="IC20" i="91"/>
  <c r="IB20" i="91"/>
  <c r="IA20" i="91"/>
  <c r="HZ20" i="91"/>
  <c r="HY20" i="91"/>
  <c r="HX20" i="91"/>
  <c r="HW20" i="91"/>
  <c r="HV20" i="91"/>
  <c r="HU20" i="91"/>
  <c r="HT20" i="91"/>
  <c r="HS20" i="91"/>
  <c r="HR20" i="91"/>
  <c r="HQ20" i="91"/>
  <c r="HP20" i="91"/>
  <c r="HO20" i="91"/>
  <c r="GI20" i="91"/>
  <c r="GC20" i="91"/>
  <c r="GG20" i="91" s="1"/>
  <c r="FY20" i="91"/>
  <c r="FS20" i="91"/>
  <c r="FW20" i="91" s="1"/>
  <c r="FO20" i="91"/>
  <c r="FI20" i="91"/>
  <c r="FM20" i="91" s="1"/>
  <c r="FE20" i="91"/>
  <c r="EY20" i="91"/>
  <c r="FC20" i="91" s="1"/>
  <c r="EU20" i="91"/>
  <c r="EO20" i="91"/>
  <c r="ES20" i="91" s="1"/>
  <c r="AB20" i="91"/>
  <c r="HH20" i="91" s="1"/>
  <c r="AA20" i="91"/>
  <c r="HA20" i="91" s="1"/>
  <c r="Z20" i="91"/>
  <c r="GT20" i="91" s="1"/>
  <c r="Y20" i="91"/>
  <c r="GM20" i="91" s="1"/>
  <c r="N20" i="91"/>
  <c r="M20" i="91"/>
  <c r="W20" i="91" s="1"/>
  <c r="L20" i="91"/>
  <c r="K20" i="91"/>
  <c r="J20" i="91"/>
  <c r="T20" i="91" s="1"/>
  <c r="N19" i="91"/>
  <c r="S19" i="91" s="1"/>
  <c r="M19" i="91"/>
  <c r="IC19" i="91" s="1"/>
  <c r="L19" i="91"/>
  <c r="V19" i="91" s="1"/>
  <c r="K19" i="91"/>
  <c r="U19" i="91" s="1"/>
  <c r="J19" i="91"/>
  <c r="HR19" i="91" s="1"/>
  <c r="IR18" i="91"/>
  <c r="IM18" i="91"/>
  <c r="IH18" i="91"/>
  <c r="IG18" i="91"/>
  <c r="IF18" i="91"/>
  <c r="IE18" i="91"/>
  <c r="ID18" i="91"/>
  <c r="IB18" i="91"/>
  <c r="GI18" i="91"/>
  <c r="GC18" i="91"/>
  <c r="GG18" i="91" s="1"/>
  <c r="FY18" i="91"/>
  <c r="IQ18" i="91" s="1"/>
  <c r="N18" i="91"/>
  <c r="X18" i="91" s="1"/>
  <c r="M18" i="91"/>
  <c r="R18" i="91" s="1"/>
  <c r="L18" i="91"/>
  <c r="K18" i="91"/>
  <c r="U18" i="91" s="1"/>
  <c r="J18" i="91"/>
  <c r="T18" i="91" s="1"/>
  <c r="IR17" i="91"/>
  <c r="IM17" i="91"/>
  <c r="IH17" i="91"/>
  <c r="IG17" i="91"/>
  <c r="IF17" i="91"/>
  <c r="IE17" i="91"/>
  <c r="GI17" i="91"/>
  <c r="GC17" i="91"/>
  <c r="GG17" i="91" s="1"/>
  <c r="N17" i="91"/>
  <c r="X17" i="91" s="1"/>
  <c r="M17" i="91"/>
  <c r="ID17" i="91" s="1"/>
  <c r="L17" i="91"/>
  <c r="Q17" i="91" s="1"/>
  <c r="K17" i="91"/>
  <c r="U17" i="91" s="1"/>
  <c r="J17" i="91"/>
  <c r="T17" i="91" s="1"/>
  <c r="N16" i="91"/>
  <c r="X16" i="91" s="1"/>
  <c r="M16" i="91"/>
  <c r="ID16" i="91" s="1"/>
  <c r="L16" i="91"/>
  <c r="Q16" i="91" s="1"/>
  <c r="K16" i="91"/>
  <c r="U16" i="91" s="1"/>
  <c r="J16" i="91"/>
  <c r="B12" i="91"/>
  <c r="A9" i="91"/>
  <c r="E61" i="91" s="1"/>
  <c r="E62" i="91" s="1"/>
  <c r="E63" i="91" s="1"/>
  <c r="E64" i="91" s="1"/>
  <c r="E65" i="91" s="1"/>
  <c r="E66" i="91" s="1"/>
  <c r="A8" i="91"/>
  <c r="A7" i="91"/>
  <c r="E59" i="91" s="1"/>
  <c r="A6" i="91"/>
  <c r="A5" i="91"/>
  <c r="A4" i="91"/>
  <c r="A3" i="91"/>
  <c r="B20" i="91" s="1"/>
  <c r="A2" i="91"/>
  <c r="B19" i="91" s="1"/>
  <c r="EY72" i="90"/>
  <c r="BC72" i="90"/>
  <c r="HD42" i="90"/>
  <c r="HQ20" i="90"/>
  <c r="HO20" i="90"/>
  <c r="EO20" i="90"/>
  <c r="ES20" i="90" s="1"/>
  <c r="N20" i="90"/>
  <c r="IG20" i="90" s="1"/>
  <c r="M20" i="90"/>
  <c r="R20" i="90" s="1"/>
  <c r="L20" i="90"/>
  <c r="V20" i="90" s="1"/>
  <c r="K20" i="90"/>
  <c r="U20" i="90" s="1"/>
  <c r="J20" i="90"/>
  <c r="O20" i="90" s="1"/>
  <c r="D20" i="90"/>
  <c r="B20" i="90"/>
  <c r="N19" i="90"/>
  <c r="X19" i="90" s="1"/>
  <c r="M19" i="90"/>
  <c r="W19" i="90" s="1"/>
  <c r="L19" i="90"/>
  <c r="V19" i="90" s="1"/>
  <c r="K19" i="90"/>
  <c r="P19" i="90" s="1"/>
  <c r="J19" i="90"/>
  <c r="T19" i="90" s="1"/>
  <c r="D19" i="90"/>
  <c r="B19" i="90"/>
  <c r="N18" i="90"/>
  <c r="S18" i="90" s="1"/>
  <c r="M18" i="90"/>
  <c r="R18" i="90" s="1"/>
  <c r="L18" i="90"/>
  <c r="V18" i="90" s="1"/>
  <c r="K18" i="90"/>
  <c r="U18" i="90" s="1"/>
  <c r="J18" i="90"/>
  <c r="O18" i="90" s="1"/>
  <c r="IR17" i="90"/>
  <c r="IM17" i="90"/>
  <c r="IH17" i="90"/>
  <c r="IG17" i="90"/>
  <c r="IF17" i="90"/>
  <c r="IE17" i="90"/>
  <c r="GI17" i="90"/>
  <c r="GC17" i="90"/>
  <c r="GG17" i="90" s="1"/>
  <c r="N17" i="90"/>
  <c r="S17" i="90" s="1"/>
  <c r="M17" i="90"/>
  <c r="R17" i="90" s="1"/>
  <c r="L17" i="90"/>
  <c r="V17" i="90" s="1"/>
  <c r="K17" i="90"/>
  <c r="P17" i="90" s="1"/>
  <c r="J17" i="90"/>
  <c r="T17" i="90" s="1"/>
  <c r="N16" i="90"/>
  <c r="IH16" i="90" s="1"/>
  <c r="M16" i="90"/>
  <c r="R16" i="90" s="1"/>
  <c r="L16" i="90"/>
  <c r="V16" i="90" s="1"/>
  <c r="K16" i="90"/>
  <c r="P16" i="90" s="1"/>
  <c r="J16" i="90"/>
  <c r="O16" i="90" s="1"/>
  <c r="AC13" i="90"/>
  <c r="B12" i="90"/>
  <c r="A9" i="90"/>
  <c r="E61" i="90" s="1"/>
  <c r="E62" i="90" s="1"/>
  <c r="E63" i="90" s="1"/>
  <c r="E64" i="90" s="1"/>
  <c r="E65" i="90" s="1"/>
  <c r="E66" i="90" s="1"/>
  <c r="A8" i="90"/>
  <c r="A7" i="90"/>
  <c r="A6" i="90"/>
  <c r="A5" i="90"/>
  <c r="A4" i="90"/>
  <c r="E58" i="90" s="1"/>
  <c r="A3" i="90"/>
  <c r="A2" i="90"/>
  <c r="EY72" i="89"/>
  <c r="BC72" i="89"/>
  <c r="HD42" i="89"/>
  <c r="IR20" i="89"/>
  <c r="IQ20" i="89"/>
  <c r="IM20" i="89"/>
  <c r="IL20" i="89"/>
  <c r="IH20" i="89"/>
  <c r="IG20" i="89"/>
  <c r="IF20" i="89"/>
  <c r="IE20" i="89"/>
  <c r="ID20" i="89"/>
  <c r="IC20" i="89"/>
  <c r="IB20" i="89"/>
  <c r="IA20" i="89"/>
  <c r="GI20" i="89"/>
  <c r="GC20" i="89"/>
  <c r="GG20" i="89" s="1"/>
  <c r="FY20" i="89"/>
  <c r="FS20" i="89"/>
  <c r="FW20" i="89" s="1"/>
  <c r="N20" i="89"/>
  <c r="M20" i="89"/>
  <c r="R20" i="89" s="1"/>
  <c r="L20" i="89"/>
  <c r="V20" i="89" s="1"/>
  <c r="K20" i="89"/>
  <c r="U20" i="89" s="1"/>
  <c r="J20" i="89"/>
  <c r="HQ20" i="89" s="1"/>
  <c r="D20" i="89"/>
  <c r="B20" i="89"/>
  <c r="N19" i="89"/>
  <c r="X19" i="89" s="1"/>
  <c r="M19" i="89"/>
  <c r="W19" i="89" s="1"/>
  <c r="L19" i="89"/>
  <c r="V19" i="89" s="1"/>
  <c r="K19" i="89"/>
  <c r="P19" i="89" s="1"/>
  <c r="J19" i="89"/>
  <c r="T19" i="89" s="1"/>
  <c r="D19" i="89"/>
  <c r="B19" i="89"/>
  <c r="N18" i="89"/>
  <c r="X18" i="89" s="1"/>
  <c r="M18" i="89"/>
  <c r="R18" i="89" s="1"/>
  <c r="L18" i="89"/>
  <c r="V18" i="89" s="1"/>
  <c r="K18" i="89"/>
  <c r="U18" i="89" s="1"/>
  <c r="J18" i="89"/>
  <c r="T18" i="89" s="1"/>
  <c r="IG17" i="89"/>
  <c r="IE17" i="89"/>
  <c r="GC17" i="89"/>
  <c r="GG17" i="89" s="1"/>
  <c r="N17" i="89"/>
  <c r="IH17" i="89" s="1"/>
  <c r="M17" i="89"/>
  <c r="R17" i="89" s="1"/>
  <c r="L17" i="89"/>
  <c r="V17" i="89" s="1"/>
  <c r="K17" i="89"/>
  <c r="U17" i="89" s="1"/>
  <c r="J17" i="89"/>
  <c r="T17" i="89" s="1"/>
  <c r="N16" i="89"/>
  <c r="X16" i="89" s="1"/>
  <c r="M16" i="89"/>
  <c r="R16" i="89" s="1"/>
  <c r="L16" i="89"/>
  <c r="V16" i="89" s="1"/>
  <c r="K16" i="89"/>
  <c r="U16" i="89" s="1"/>
  <c r="J16" i="89"/>
  <c r="T16" i="89" s="1"/>
  <c r="B12" i="89"/>
  <c r="A9" i="89"/>
  <c r="E61" i="89" s="1"/>
  <c r="E62" i="89" s="1"/>
  <c r="E63" i="89" s="1"/>
  <c r="E64" i="89" s="1"/>
  <c r="E65" i="89" s="1"/>
  <c r="E66" i="89" s="1"/>
  <c r="A8" i="89"/>
  <c r="A7" i="89"/>
  <c r="A6" i="89"/>
  <c r="A5" i="89"/>
  <c r="A4" i="89"/>
  <c r="E58" i="89" s="1"/>
  <c r="A3" i="89"/>
  <c r="A2" i="89"/>
  <c r="EY72" i="88"/>
  <c r="BC72" i="88"/>
  <c r="HD42" i="88"/>
  <c r="IR20" i="88"/>
  <c r="IQ20" i="88"/>
  <c r="IM20" i="88"/>
  <c r="IL20" i="88"/>
  <c r="IH20" i="88"/>
  <c r="IG20" i="88"/>
  <c r="IF20" i="88"/>
  <c r="IE20" i="88"/>
  <c r="ID20" i="88"/>
  <c r="IC20" i="88"/>
  <c r="IB20" i="88"/>
  <c r="IA20" i="88"/>
  <c r="GI20" i="88"/>
  <c r="GC20" i="88"/>
  <c r="GG20" i="88" s="1"/>
  <c r="FY20" i="88"/>
  <c r="FS20" i="88"/>
  <c r="FW20" i="88" s="1"/>
  <c r="N20" i="88"/>
  <c r="X20" i="88" s="1"/>
  <c r="M20" i="88"/>
  <c r="L20" i="88"/>
  <c r="V20" i="88" s="1"/>
  <c r="K20" i="88"/>
  <c r="P20" i="88" s="1"/>
  <c r="J20" i="88"/>
  <c r="HQ20" i="88" s="1"/>
  <c r="D20" i="88"/>
  <c r="B20" i="88"/>
  <c r="IR19" i="88"/>
  <c r="IM19" i="88"/>
  <c r="IH19" i="88"/>
  <c r="IG19" i="88"/>
  <c r="IF19" i="88"/>
  <c r="IE19" i="88"/>
  <c r="GI19" i="88"/>
  <c r="GC19" i="88"/>
  <c r="GG19" i="88" s="1"/>
  <c r="N19" i="88"/>
  <c r="S19" i="88" s="1"/>
  <c r="M19" i="88"/>
  <c r="R19" i="88" s="1"/>
  <c r="L19" i="88"/>
  <c r="HW19" i="88" s="1"/>
  <c r="K19" i="88"/>
  <c r="HU19" i="88" s="1"/>
  <c r="J19" i="88"/>
  <c r="HQ19" i="88" s="1"/>
  <c r="D19" i="88"/>
  <c r="B19" i="88"/>
  <c r="IH18" i="88"/>
  <c r="IE18" i="88"/>
  <c r="GC18" i="88" s="1"/>
  <c r="GI18" i="88"/>
  <c r="IR18" i="88" s="1"/>
  <c r="N18" i="88"/>
  <c r="M18" i="88"/>
  <c r="L18" i="88"/>
  <c r="HY18" i="88" s="1"/>
  <c r="K18" i="88"/>
  <c r="J18" i="88"/>
  <c r="O18" i="88" s="1"/>
  <c r="IR17" i="88"/>
  <c r="IM17" i="88"/>
  <c r="IH17" i="88"/>
  <c r="IG17" i="88"/>
  <c r="IF17" i="88"/>
  <c r="IE17" i="88"/>
  <c r="ID17" i="88"/>
  <c r="IB17" i="88"/>
  <c r="GI17" i="88"/>
  <c r="GC17" i="88"/>
  <c r="GG17" i="88" s="1"/>
  <c r="FY17" i="88"/>
  <c r="IQ17" i="88" s="1"/>
  <c r="N17" i="88"/>
  <c r="M17" i="88"/>
  <c r="W17" i="88" s="1"/>
  <c r="L17" i="88"/>
  <c r="K17" i="88"/>
  <c r="HS17" i="88" s="1"/>
  <c r="J17" i="88"/>
  <c r="HO17" i="88" s="1"/>
  <c r="N16" i="88"/>
  <c r="IG16" i="88" s="1"/>
  <c r="M16" i="88"/>
  <c r="W16" i="88" s="1"/>
  <c r="L16" i="88"/>
  <c r="HY16" i="88" s="1"/>
  <c r="K16" i="88"/>
  <c r="HV16" i="88" s="1"/>
  <c r="J16" i="88"/>
  <c r="AC13" i="88"/>
  <c r="A9" i="88"/>
  <c r="A8" i="88"/>
  <c r="A7" i="88"/>
  <c r="A6" i="88"/>
  <c r="A5" i="88"/>
  <c r="A4" i="88"/>
  <c r="E58" i="88" s="1"/>
  <c r="A3" i="88"/>
  <c r="E57" i="88" s="1"/>
  <c r="A2" i="88"/>
  <c r="EY72" i="87"/>
  <c r="BC72" i="87"/>
  <c r="HD42" i="87"/>
  <c r="IC20" i="87"/>
  <c r="IA20" i="87"/>
  <c r="N20" i="87"/>
  <c r="X20" i="87" s="1"/>
  <c r="M20" i="87"/>
  <c r="W20" i="87" s="1"/>
  <c r="L20" i="87"/>
  <c r="Q20" i="87" s="1"/>
  <c r="K20" i="87"/>
  <c r="HU20" i="87" s="1"/>
  <c r="J20" i="87"/>
  <c r="T20" i="87" s="1"/>
  <c r="D20" i="87"/>
  <c r="B20" i="87"/>
  <c r="IR19" i="87"/>
  <c r="IM19" i="87"/>
  <c r="IH19" i="87"/>
  <c r="IG19" i="87"/>
  <c r="IF19" i="87"/>
  <c r="IE19" i="87"/>
  <c r="IB19" i="87"/>
  <c r="GI19" i="87"/>
  <c r="GC19" i="87"/>
  <c r="GG19" i="87" s="1"/>
  <c r="N19" i="87"/>
  <c r="X19" i="87" s="1"/>
  <c r="M19" i="87"/>
  <c r="W19" i="87" s="1"/>
  <c r="L19" i="87"/>
  <c r="Q19" i="87" s="1"/>
  <c r="K19" i="87"/>
  <c r="P19" i="87" s="1"/>
  <c r="J19" i="87"/>
  <c r="HR19" i="87" s="1"/>
  <c r="D19" i="87"/>
  <c r="B19" i="87"/>
  <c r="N18" i="87"/>
  <c r="IE18" i="87" s="1"/>
  <c r="GC18" i="87" s="1"/>
  <c r="IM18" i="87" s="1"/>
  <c r="M18" i="87"/>
  <c r="ID18" i="87" s="1"/>
  <c r="L18" i="87"/>
  <c r="HZ18" i="87" s="1"/>
  <c r="K18" i="87"/>
  <c r="HU18" i="87" s="1"/>
  <c r="J18" i="87"/>
  <c r="HO18" i="87" s="1"/>
  <c r="N17" i="87"/>
  <c r="IG17" i="87" s="1"/>
  <c r="M17" i="87"/>
  <c r="R17" i="87" s="1"/>
  <c r="L17" i="87"/>
  <c r="HY17" i="87" s="1"/>
  <c r="K17" i="87"/>
  <c r="U17" i="87" s="1"/>
  <c r="J17" i="87"/>
  <c r="HO17" i="87" s="1"/>
  <c r="IR16" i="87"/>
  <c r="IM16" i="87"/>
  <c r="IH16" i="87"/>
  <c r="IG16" i="87"/>
  <c r="IF16" i="87"/>
  <c r="IE16" i="87"/>
  <c r="GI16" i="87"/>
  <c r="GC16" i="87"/>
  <c r="GG16" i="87" s="1"/>
  <c r="N16" i="87"/>
  <c r="M16" i="87"/>
  <c r="L16" i="87"/>
  <c r="K16" i="87"/>
  <c r="P16" i="87" s="1"/>
  <c r="J16" i="87"/>
  <c r="HO16" i="87" s="1"/>
  <c r="AC13" i="87"/>
  <c r="B12" i="87"/>
  <c r="A9" i="87"/>
  <c r="E61" i="87" s="1"/>
  <c r="E62" i="87" s="1"/>
  <c r="E63" i="87" s="1"/>
  <c r="E64" i="87" s="1"/>
  <c r="E65" i="87" s="1"/>
  <c r="E66" i="87" s="1"/>
  <c r="A8" i="87"/>
  <c r="A7" i="87"/>
  <c r="A6" i="87"/>
  <c r="A5" i="87"/>
  <c r="A4" i="87"/>
  <c r="A3" i="87"/>
  <c r="A2" i="87"/>
  <c r="EY72" i="86"/>
  <c r="BC72" i="86"/>
  <c r="HD42" i="86"/>
  <c r="IR20" i="86"/>
  <c r="IQ20" i="86"/>
  <c r="IM20" i="86"/>
  <c r="IL20" i="86"/>
  <c r="IH20" i="86"/>
  <c r="IG20" i="86"/>
  <c r="IF20" i="86"/>
  <c r="IE20" i="86"/>
  <c r="ID20" i="86"/>
  <c r="IC20" i="86"/>
  <c r="IB20" i="86"/>
  <c r="IA20" i="86"/>
  <c r="HY20" i="86"/>
  <c r="HW20" i="86"/>
  <c r="GI20" i="86"/>
  <c r="GC20" i="86"/>
  <c r="GG20" i="86" s="1"/>
  <c r="FY20" i="86"/>
  <c r="FS20" i="86"/>
  <c r="FW20" i="86" s="1"/>
  <c r="FI20" i="86"/>
  <c r="FM20" i="86" s="1"/>
  <c r="N20" i="86"/>
  <c r="M20" i="86"/>
  <c r="W20" i="86" s="1"/>
  <c r="L20" i="86"/>
  <c r="Q20" i="86" s="1"/>
  <c r="K20" i="86"/>
  <c r="P20" i="86" s="1"/>
  <c r="J20" i="86"/>
  <c r="O20" i="86" s="1"/>
  <c r="IR19" i="86"/>
  <c r="IM19" i="86"/>
  <c r="IH19" i="86"/>
  <c r="IG19" i="86"/>
  <c r="IF19" i="86"/>
  <c r="IE19" i="86"/>
  <c r="GI19" i="86"/>
  <c r="GC19" i="86"/>
  <c r="GG19" i="86" s="1"/>
  <c r="N19" i="86"/>
  <c r="X19" i="86" s="1"/>
  <c r="M19" i="86"/>
  <c r="R19" i="86" s="1"/>
  <c r="L19" i="86"/>
  <c r="HY19" i="86" s="1"/>
  <c r="K19" i="86"/>
  <c r="U19" i="86" s="1"/>
  <c r="J19" i="86"/>
  <c r="O19" i="86" s="1"/>
  <c r="N18" i="86"/>
  <c r="IG18" i="86" s="1"/>
  <c r="M18" i="86"/>
  <c r="ID18" i="86" s="1"/>
  <c r="L18" i="86"/>
  <c r="HZ18" i="86" s="1"/>
  <c r="K18" i="86"/>
  <c r="J18" i="86"/>
  <c r="T18" i="86" s="1"/>
  <c r="N17" i="86"/>
  <c r="S17" i="86" s="1"/>
  <c r="M17" i="86"/>
  <c r="W17" i="86" s="1"/>
  <c r="L17" i="86"/>
  <c r="HW17" i="86" s="1"/>
  <c r="K17" i="86"/>
  <c r="HS17" i="86" s="1"/>
  <c r="J17" i="86"/>
  <c r="HR17" i="86" s="1"/>
  <c r="N16" i="86"/>
  <c r="IH16" i="86" s="1"/>
  <c r="M16" i="86"/>
  <c r="R16" i="86" s="1"/>
  <c r="L16" i="86"/>
  <c r="HZ16" i="86" s="1"/>
  <c r="K16" i="86"/>
  <c r="J16" i="86"/>
  <c r="AC13" i="86"/>
  <c r="A7" i="86"/>
  <c r="E59" i="86" s="1"/>
  <c r="A4" i="86"/>
  <c r="EY72" i="85"/>
  <c r="BC72" i="85"/>
  <c r="HD42" i="85"/>
  <c r="IT20" i="85"/>
  <c r="IS20" i="85"/>
  <c r="IR20" i="85"/>
  <c r="IQ20" i="85"/>
  <c r="IP20" i="85"/>
  <c r="IO20" i="85"/>
  <c r="IN20" i="85"/>
  <c r="IM20" i="85"/>
  <c r="IL20" i="85"/>
  <c r="IK20" i="85"/>
  <c r="IJ20" i="85"/>
  <c r="II20" i="85"/>
  <c r="IH20" i="85"/>
  <c r="IG20" i="85"/>
  <c r="IF20" i="85"/>
  <c r="IE20" i="85"/>
  <c r="ID20" i="85"/>
  <c r="IC20" i="85"/>
  <c r="IB20" i="85"/>
  <c r="IA20" i="85"/>
  <c r="HZ20" i="85"/>
  <c r="HY20" i="85"/>
  <c r="HX20" i="85"/>
  <c r="HW20" i="85"/>
  <c r="HV20" i="85"/>
  <c r="HU20" i="85"/>
  <c r="HT20" i="85"/>
  <c r="HS20" i="85"/>
  <c r="HR20" i="85"/>
  <c r="HQ20" i="85"/>
  <c r="HP20" i="85"/>
  <c r="HO20" i="85"/>
  <c r="GI20" i="85"/>
  <c r="GC20" i="85"/>
  <c r="GG20" i="85" s="1"/>
  <c r="FY20" i="85"/>
  <c r="FS20" i="85"/>
  <c r="FW20" i="85" s="1"/>
  <c r="FO20" i="85"/>
  <c r="FI20" i="85"/>
  <c r="FM20" i="85" s="1"/>
  <c r="FE20" i="85"/>
  <c r="EY20" i="85"/>
  <c r="FC20" i="85" s="1"/>
  <c r="EU20" i="85"/>
  <c r="EO20" i="85"/>
  <c r="ES20" i="85" s="1"/>
  <c r="AB20" i="85"/>
  <c r="HH20" i="85" s="1"/>
  <c r="AA20" i="85"/>
  <c r="HA20" i="85" s="1"/>
  <c r="Z20" i="85"/>
  <c r="GT20" i="85" s="1"/>
  <c r="Y20" i="85"/>
  <c r="GM20" i="85" s="1"/>
  <c r="N20" i="85"/>
  <c r="M20" i="85"/>
  <c r="W20" i="85" s="1"/>
  <c r="L20" i="85"/>
  <c r="V20" i="85" s="1"/>
  <c r="K20" i="85"/>
  <c r="P20" i="85" s="1"/>
  <c r="J20" i="85"/>
  <c r="O20" i="85" s="1"/>
  <c r="D20" i="85"/>
  <c r="B20" i="85"/>
  <c r="IR19" i="85"/>
  <c r="IQ19" i="85"/>
  <c r="IM19" i="85"/>
  <c r="IL19" i="85"/>
  <c r="IH19" i="85"/>
  <c r="IG19" i="85"/>
  <c r="IF19" i="85"/>
  <c r="IE19" i="85"/>
  <c r="ID19" i="85"/>
  <c r="IC19" i="85"/>
  <c r="IB19" i="85"/>
  <c r="IA19" i="85"/>
  <c r="GI19" i="85"/>
  <c r="GC19" i="85"/>
  <c r="GG19" i="85" s="1"/>
  <c r="FY19" i="85"/>
  <c r="FS19" i="85"/>
  <c r="FW19" i="85" s="1"/>
  <c r="N19" i="85"/>
  <c r="X19" i="85" s="1"/>
  <c r="M19" i="85"/>
  <c r="R19" i="85" s="1"/>
  <c r="L19" i="85"/>
  <c r="Q19" i="85" s="1"/>
  <c r="K19" i="85"/>
  <c r="U19" i="85" s="1"/>
  <c r="J19" i="85"/>
  <c r="T19" i="85" s="1"/>
  <c r="B19" i="85"/>
  <c r="IE18" i="85"/>
  <c r="N18" i="85"/>
  <c r="X18" i="85" s="1"/>
  <c r="M18" i="85"/>
  <c r="R18" i="85" s="1"/>
  <c r="L18" i="85"/>
  <c r="K18" i="85"/>
  <c r="HU18" i="85" s="1"/>
  <c r="J18" i="85"/>
  <c r="HO18" i="85" s="1"/>
  <c r="IR17" i="85"/>
  <c r="IM17" i="85"/>
  <c r="IH17" i="85"/>
  <c r="IG17" i="85"/>
  <c r="IF17" i="85"/>
  <c r="IE17" i="85"/>
  <c r="ID17" i="85"/>
  <c r="IB17" i="85"/>
  <c r="GI17" i="85"/>
  <c r="GC17" i="85"/>
  <c r="GG17" i="85" s="1"/>
  <c r="FY17" i="85"/>
  <c r="IQ17" i="85" s="1"/>
  <c r="N17" i="85"/>
  <c r="S17" i="85" s="1"/>
  <c r="M17" i="85"/>
  <c r="W17" i="85" s="1"/>
  <c r="L17" i="85"/>
  <c r="V17" i="85" s="1"/>
  <c r="K17" i="85"/>
  <c r="HS17" i="85" s="1"/>
  <c r="J17" i="85"/>
  <c r="HR17" i="85" s="1"/>
  <c r="EU17" i="85" s="1"/>
  <c r="IN17" i="85" s="1"/>
  <c r="IG16" i="85"/>
  <c r="N16" i="85"/>
  <c r="IE16" i="85" s="1"/>
  <c r="M16" i="85"/>
  <c r="IC16" i="85" s="1"/>
  <c r="L16" i="85"/>
  <c r="HZ16" i="85" s="1"/>
  <c r="K16" i="85"/>
  <c r="HT16" i="85" s="1"/>
  <c r="J16" i="85"/>
  <c r="AC13" i="85"/>
  <c r="B12" i="85"/>
  <c r="A9" i="85"/>
  <c r="E61" i="85" s="1"/>
  <c r="E62" i="85" s="1"/>
  <c r="E63" i="85" s="1"/>
  <c r="E64" i="85" s="1"/>
  <c r="E65" i="85" s="1"/>
  <c r="E66" i="85" s="1"/>
  <c r="A8" i="85"/>
  <c r="A7" i="85"/>
  <c r="E59" i="85" s="1"/>
  <c r="A6" i="85"/>
  <c r="A5" i="85"/>
  <c r="A4" i="85"/>
  <c r="A3" i="85"/>
  <c r="E57" i="85" s="1"/>
  <c r="A2" i="85"/>
  <c r="EY72" i="84"/>
  <c r="BC72" i="84"/>
  <c r="HD42" i="84"/>
  <c r="IR20" i="84"/>
  <c r="IM20" i="84"/>
  <c r="IH20" i="84"/>
  <c r="IG20" i="84"/>
  <c r="IF20" i="84"/>
  <c r="IE20" i="84"/>
  <c r="GI20" i="84"/>
  <c r="GC20" i="84"/>
  <c r="GG20" i="84" s="1"/>
  <c r="N20" i="84"/>
  <c r="X20" i="84" s="1"/>
  <c r="M20" i="84"/>
  <c r="W20" i="84" s="1"/>
  <c r="L20" i="84"/>
  <c r="HY20" i="84" s="1"/>
  <c r="K20" i="84"/>
  <c r="P20" i="84" s="1"/>
  <c r="J20" i="84"/>
  <c r="T20" i="84" s="1"/>
  <c r="D20" i="84"/>
  <c r="B20" i="84"/>
  <c r="IG19" i="84"/>
  <c r="IE19" i="84"/>
  <c r="GC19" i="84"/>
  <c r="GG19" i="84" s="1"/>
  <c r="N19" i="84"/>
  <c r="X19" i="84" s="1"/>
  <c r="M19" i="84"/>
  <c r="R19" i="84" s="1"/>
  <c r="L19" i="84"/>
  <c r="HX19" i="84" s="1"/>
  <c r="K19" i="84"/>
  <c r="P19" i="84" s="1"/>
  <c r="J19" i="84"/>
  <c r="HR19" i="84" s="1"/>
  <c r="D19" i="84"/>
  <c r="B19" i="84"/>
  <c r="N18" i="84"/>
  <c r="M18" i="84"/>
  <c r="R18" i="84" s="1"/>
  <c r="L18" i="84"/>
  <c r="HW18" i="84" s="1"/>
  <c r="K18" i="84"/>
  <c r="HV18" i="84" s="1"/>
  <c r="J18" i="84"/>
  <c r="HO18" i="84" s="1"/>
  <c r="N17" i="84"/>
  <c r="X17" i="84" s="1"/>
  <c r="M17" i="84"/>
  <c r="W17" i="84" s="1"/>
  <c r="L17" i="84"/>
  <c r="Q17" i="84" s="1"/>
  <c r="K17" i="84"/>
  <c r="U17" i="84" s="1"/>
  <c r="J17" i="84"/>
  <c r="IE16" i="84"/>
  <c r="N16" i="84"/>
  <c r="IH16" i="84" s="1"/>
  <c r="M16" i="84"/>
  <c r="ID16" i="84" s="1"/>
  <c r="L16" i="84"/>
  <c r="HX16" i="84" s="1"/>
  <c r="K16" i="84"/>
  <c r="J16" i="84"/>
  <c r="O16" i="84" s="1"/>
  <c r="B12" i="84"/>
  <c r="A9" i="84"/>
  <c r="A8" i="84"/>
  <c r="A7" i="84"/>
  <c r="A6" i="84"/>
  <c r="A5" i="84"/>
  <c r="A4" i="84"/>
  <c r="A3" i="84"/>
  <c r="A2" i="84"/>
  <c r="EY72" i="83"/>
  <c r="BC72" i="83"/>
  <c r="HD42" i="83"/>
  <c r="IE20" i="83"/>
  <c r="GC20" i="83" s="1"/>
  <c r="N20" i="83"/>
  <c r="S20" i="83" s="1"/>
  <c r="M20" i="83"/>
  <c r="W20" i="83" s="1"/>
  <c r="L20" i="83"/>
  <c r="Q20" i="83" s="1"/>
  <c r="K20" i="83"/>
  <c r="HT20" i="83" s="1"/>
  <c r="J20" i="83"/>
  <c r="O20" i="83" s="1"/>
  <c r="D20" i="83"/>
  <c r="B20" i="83"/>
  <c r="N19" i="83"/>
  <c r="S19" i="83" s="1"/>
  <c r="M19" i="83"/>
  <c r="W19" i="83" s="1"/>
  <c r="L19" i="83"/>
  <c r="V19" i="83" s="1"/>
  <c r="K19" i="83"/>
  <c r="U19" i="83" s="1"/>
  <c r="J19" i="83"/>
  <c r="O19" i="83" s="1"/>
  <c r="D19" i="83"/>
  <c r="B19" i="83"/>
  <c r="N18" i="83"/>
  <c r="S18" i="83" s="1"/>
  <c r="M18" i="83"/>
  <c r="W18" i="83" s="1"/>
  <c r="L18" i="83"/>
  <c r="HY18" i="83" s="1"/>
  <c r="K18" i="83"/>
  <c r="HS18" i="83" s="1"/>
  <c r="J18" i="83"/>
  <c r="N17" i="83"/>
  <c r="X17" i="83" s="1"/>
  <c r="M17" i="83"/>
  <c r="W17" i="83" s="1"/>
  <c r="L17" i="83"/>
  <c r="HW17" i="83" s="1"/>
  <c r="K17" i="83"/>
  <c r="HS17" i="83" s="1"/>
  <c r="J17" i="83"/>
  <c r="HQ17" i="83" s="1"/>
  <c r="IR16" i="83"/>
  <c r="IM16" i="83"/>
  <c r="IH16" i="83"/>
  <c r="IG16" i="83"/>
  <c r="IF16" i="83"/>
  <c r="IE16" i="83"/>
  <c r="IA16" i="83"/>
  <c r="FS16" i="83" s="1"/>
  <c r="HO16" i="83"/>
  <c r="EO16" i="83" s="1"/>
  <c r="ES16" i="83" s="1"/>
  <c r="GI16" i="83"/>
  <c r="GC16" i="83"/>
  <c r="GG16" i="83" s="1"/>
  <c r="N16" i="83"/>
  <c r="X16" i="83" s="1"/>
  <c r="M16" i="83"/>
  <c r="IB16" i="83" s="1"/>
  <c r="L16" i="83"/>
  <c r="V16" i="83" s="1"/>
  <c r="K16" i="83"/>
  <c r="J16" i="83"/>
  <c r="HQ16" i="83" s="1"/>
  <c r="AC13" i="83"/>
  <c r="B12" i="83"/>
  <c r="A9" i="83"/>
  <c r="E61" i="83" s="1"/>
  <c r="E62" i="83" s="1"/>
  <c r="E63" i="83" s="1"/>
  <c r="E64" i="83" s="1"/>
  <c r="E65" i="83" s="1"/>
  <c r="E66" i="83" s="1"/>
  <c r="A8" i="83"/>
  <c r="A7" i="83"/>
  <c r="E59" i="83" s="1"/>
  <c r="A6" i="83"/>
  <c r="A5" i="83"/>
  <c r="A4" i="83"/>
  <c r="A3" i="83"/>
  <c r="A2" i="83"/>
  <c r="EY72" i="82"/>
  <c r="BC72" i="82"/>
  <c r="HD42" i="82"/>
  <c r="IR20" i="82"/>
  <c r="IQ20" i="82"/>
  <c r="IM20" i="82"/>
  <c r="IL20" i="82"/>
  <c r="IH20" i="82"/>
  <c r="IG20" i="82"/>
  <c r="IF20" i="82"/>
  <c r="IE20" i="82"/>
  <c r="ID20" i="82"/>
  <c r="IC20" i="82"/>
  <c r="IB20" i="82"/>
  <c r="IA20" i="82"/>
  <c r="HQ20" i="82"/>
  <c r="HO20" i="82"/>
  <c r="GI20" i="82"/>
  <c r="GC20" i="82"/>
  <c r="GG20" i="82" s="1"/>
  <c r="FY20" i="82"/>
  <c r="FS20" i="82"/>
  <c r="FW20" i="82" s="1"/>
  <c r="EO20" i="82"/>
  <c r="ES20" i="82" s="1"/>
  <c r="N20" i="82"/>
  <c r="X20" i="82" s="1"/>
  <c r="M20" i="82"/>
  <c r="R20" i="82" s="1"/>
  <c r="L20" i="82"/>
  <c r="V20" i="82" s="1"/>
  <c r="K20" i="82"/>
  <c r="HU20" i="82" s="1"/>
  <c r="J20" i="82"/>
  <c r="O20" i="82" s="1"/>
  <c r="D20" i="82"/>
  <c r="B20" i="82"/>
  <c r="N19" i="82"/>
  <c r="IG19" i="82" s="1"/>
  <c r="M19" i="82"/>
  <c r="W19" i="82" s="1"/>
  <c r="L19" i="82"/>
  <c r="Q19" i="82" s="1"/>
  <c r="K19" i="82"/>
  <c r="P19" i="82" s="1"/>
  <c r="J19" i="82"/>
  <c r="HQ19" i="82" s="1"/>
  <c r="D19" i="82"/>
  <c r="B19" i="82"/>
  <c r="IG18" i="82"/>
  <c r="N18" i="82"/>
  <c r="X18" i="82" s="1"/>
  <c r="M18" i="82"/>
  <c r="ID18" i="82" s="1"/>
  <c r="L18" i="82"/>
  <c r="Q18" i="82" s="1"/>
  <c r="K18" i="82"/>
  <c r="HT18" i="82" s="1"/>
  <c r="J18" i="82"/>
  <c r="HQ18" i="82" s="1"/>
  <c r="N17" i="82"/>
  <c r="IH17" i="82" s="1"/>
  <c r="M17" i="82"/>
  <c r="W17" i="82" s="1"/>
  <c r="L17" i="82"/>
  <c r="Q17" i="82" s="1"/>
  <c r="K17" i="82"/>
  <c r="U17" i="82" s="1"/>
  <c r="J17" i="82"/>
  <c r="N16" i="82"/>
  <c r="IG16" i="82" s="1"/>
  <c r="M16" i="82"/>
  <c r="R16" i="82" s="1"/>
  <c r="L16" i="82"/>
  <c r="HY16" i="82" s="1"/>
  <c r="K16" i="82"/>
  <c r="HS16" i="82" s="1"/>
  <c r="J16" i="82"/>
  <c r="B12" i="82"/>
  <c r="AC11" i="82"/>
  <c r="AX53" i="82" s="1"/>
  <c r="A9" i="82"/>
  <c r="A8" i="82"/>
  <c r="E60" i="82" s="1"/>
  <c r="A7" i="82"/>
  <c r="E59" i="82" s="1"/>
  <c r="A6" i="82"/>
  <c r="A5" i="82"/>
  <c r="A4" i="82"/>
  <c r="A3" i="82"/>
  <c r="A2" i="82"/>
  <c r="A1" i="82"/>
  <c r="EY72" i="81"/>
  <c r="BC72" i="81"/>
  <c r="HD42" i="81"/>
  <c r="IR20" i="81"/>
  <c r="IM20" i="81"/>
  <c r="IH20" i="81"/>
  <c r="IG20" i="81"/>
  <c r="IF20" i="81"/>
  <c r="IE20" i="81"/>
  <c r="IC20" i="81"/>
  <c r="IA20" i="81"/>
  <c r="HS20" i="81"/>
  <c r="EY20" i="81" s="1"/>
  <c r="GI20" i="81"/>
  <c r="GC20" i="81"/>
  <c r="GG20" i="81" s="1"/>
  <c r="FS20" i="81"/>
  <c r="FW20" i="81" s="1"/>
  <c r="N20" i="81"/>
  <c r="X20" i="81" s="1"/>
  <c r="M20" i="81"/>
  <c r="ID20" i="81" s="1"/>
  <c r="L20" i="81"/>
  <c r="Q20" i="81" s="1"/>
  <c r="K20" i="81"/>
  <c r="HV20" i="81" s="1"/>
  <c r="J20" i="81"/>
  <c r="T20" i="81" s="1"/>
  <c r="D20" i="81"/>
  <c r="B20" i="81"/>
  <c r="IA19" i="81"/>
  <c r="N19" i="81"/>
  <c r="S19" i="81" s="1"/>
  <c r="M19" i="81"/>
  <c r="ID19" i="81" s="1"/>
  <c r="FY19" i="81" s="1"/>
  <c r="IQ19" i="81" s="1"/>
  <c r="L19" i="81"/>
  <c r="V19" i="81" s="1"/>
  <c r="K19" i="81"/>
  <c r="P19" i="81" s="1"/>
  <c r="J19" i="81"/>
  <c r="HQ19" i="81" s="1"/>
  <c r="D19" i="81"/>
  <c r="B19" i="81"/>
  <c r="N18" i="81"/>
  <c r="S18" i="81" s="1"/>
  <c r="M18" i="81"/>
  <c r="IA18" i="81" s="1"/>
  <c r="FS18" i="81" s="1"/>
  <c r="L18" i="81"/>
  <c r="HZ18" i="81" s="1"/>
  <c r="K18" i="81"/>
  <c r="J18" i="81"/>
  <c r="O18" i="81" s="1"/>
  <c r="N17" i="81"/>
  <c r="X17" i="81" s="1"/>
  <c r="M17" i="81"/>
  <c r="IC17" i="81" s="1"/>
  <c r="L17" i="81"/>
  <c r="HZ17" i="81" s="1"/>
  <c r="K17" i="81"/>
  <c r="HS17" i="81" s="1"/>
  <c r="J17" i="81"/>
  <c r="N16" i="81"/>
  <c r="IG16" i="81" s="1"/>
  <c r="M16" i="81"/>
  <c r="ID16" i="81" s="1"/>
  <c r="FY16" i="81" s="1"/>
  <c r="IQ16" i="81" s="1"/>
  <c r="L16" i="81"/>
  <c r="HZ16" i="81" s="1"/>
  <c r="FO16" i="81" s="1"/>
  <c r="IP16" i="81" s="1"/>
  <c r="K16" i="81"/>
  <c r="HT16" i="81" s="1"/>
  <c r="J16" i="81"/>
  <c r="AC13" i="81"/>
  <c r="B12" i="81"/>
  <c r="A9" i="81"/>
  <c r="A8" i="81"/>
  <c r="E60" i="81" s="1"/>
  <c r="A7" i="81"/>
  <c r="E59" i="81" s="1"/>
  <c r="A6" i="81"/>
  <c r="A5" i="81"/>
  <c r="A4" i="81"/>
  <c r="A3" i="81"/>
  <c r="E57" i="81" s="1"/>
  <c r="A2" i="81"/>
  <c r="EY72" i="80"/>
  <c r="BC72" i="80"/>
  <c r="HD42" i="80"/>
  <c r="IR20" i="80"/>
  <c r="IM20" i="80"/>
  <c r="IH20" i="80"/>
  <c r="IG20" i="80"/>
  <c r="IF20" i="80"/>
  <c r="IE20" i="80"/>
  <c r="ID20" i="80"/>
  <c r="IB20" i="80"/>
  <c r="GI20" i="80"/>
  <c r="GC20" i="80"/>
  <c r="GG20" i="80" s="1"/>
  <c r="FY20" i="80"/>
  <c r="IQ20" i="80" s="1"/>
  <c r="N20" i="80"/>
  <c r="S20" i="80" s="1"/>
  <c r="M20" i="80"/>
  <c r="R20" i="80" s="1"/>
  <c r="L20" i="80"/>
  <c r="HY20" i="80" s="1"/>
  <c r="K20" i="80"/>
  <c r="U20" i="80" s="1"/>
  <c r="J20" i="80"/>
  <c r="HQ20" i="80" s="1"/>
  <c r="IR19" i="80"/>
  <c r="IM19" i="80"/>
  <c r="IH19" i="80"/>
  <c r="IG19" i="80"/>
  <c r="IF19" i="80"/>
  <c r="IE19" i="80"/>
  <c r="GI19" i="80"/>
  <c r="GC19" i="80"/>
  <c r="GG19" i="80" s="1"/>
  <c r="N19" i="80"/>
  <c r="X19" i="80" s="1"/>
  <c r="M19" i="80"/>
  <c r="W19" i="80" s="1"/>
  <c r="L19" i="80"/>
  <c r="Q19" i="80" s="1"/>
  <c r="K19" i="80"/>
  <c r="HV19" i="80" s="1"/>
  <c r="J19" i="80"/>
  <c r="HR19" i="80" s="1"/>
  <c r="IH18" i="80"/>
  <c r="IG18" i="80"/>
  <c r="IF18" i="80"/>
  <c r="GI18" i="80"/>
  <c r="IR18" i="80" s="1"/>
  <c r="N18" i="80"/>
  <c r="IE18" i="80" s="1"/>
  <c r="GC18" i="80" s="1"/>
  <c r="M18" i="80"/>
  <c r="IB18" i="80" s="1"/>
  <c r="L18" i="80"/>
  <c r="HY18" i="80" s="1"/>
  <c r="K18" i="80"/>
  <c r="HT18" i="80" s="1"/>
  <c r="J18" i="80"/>
  <c r="HO18" i="80" s="1"/>
  <c r="IR17" i="80"/>
  <c r="IM17" i="80"/>
  <c r="IH17" i="80"/>
  <c r="IG17" i="80"/>
  <c r="IF17" i="80"/>
  <c r="IE17" i="80"/>
  <c r="ID17" i="80"/>
  <c r="IB17" i="80"/>
  <c r="GI17" i="80"/>
  <c r="GC17" i="80"/>
  <c r="GG17" i="80" s="1"/>
  <c r="FY17" i="80"/>
  <c r="IQ17" i="80" s="1"/>
  <c r="N17" i="80"/>
  <c r="M17" i="80"/>
  <c r="R17" i="80" s="1"/>
  <c r="L17" i="80"/>
  <c r="K17" i="80"/>
  <c r="P17" i="80" s="1"/>
  <c r="J17" i="80"/>
  <c r="N16" i="80"/>
  <c r="IG16" i="80" s="1"/>
  <c r="M16" i="80"/>
  <c r="IB16" i="80" s="1"/>
  <c r="L16" i="80"/>
  <c r="K16" i="80"/>
  <c r="J16" i="80"/>
  <c r="HO16" i="80" s="1"/>
  <c r="A9" i="80"/>
  <c r="A8" i="80"/>
  <c r="A5" i="80"/>
  <c r="A2" i="80"/>
  <c r="B19" i="80" s="1"/>
  <c r="EY72" i="79"/>
  <c r="BC72" i="79"/>
  <c r="HD42" i="79"/>
  <c r="IG20" i="79"/>
  <c r="IA20" i="79"/>
  <c r="HQ20" i="79"/>
  <c r="FS20" i="79"/>
  <c r="FW20" i="79" s="1"/>
  <c r="N20" i="79"/>
  <c r="S20" i="79" s="1"/>
  <c r="M20" i="79"/>
  <c r="W20" i="79" s="1"/>
  <c r="L20" i="79"/>
  <c r="V20" i="79" s="1"/>
  <c r="K20" i="79"/>
  <c r="U20" i="79" s="1"/>
  <c r="J20" i="79"/>
  <c r="HR20" i="79" s="1"/>
  <c r="EU20" i="79" s="1"/>
  <c r="IN20" i="79" s="1"/>
  <c r="D20" i="79"/>
  <c r="B20" i="79"/>
  <c r="N19" i="79"/>
  <c r="S19" i="79" s="1"/>
  <c r="M19" i="79"/>
  <c r="W19" i="79" s="1"/>
  <c r="L19" i="79"/>
  <c r="Q19" i="79" s="1"/>
  <c r="K19" i="79"/>
  <c r="HU19" i="79" s="1"/>
  <c r="J19" i="79"/>
  <c r="T19" i="79" s="1"/>
  <c r="B19" i="79"/>
  <c r="IG18" i="79"/>
  <c r="IF18" i="79"/>
  <c r="IC18" i="79"/>
  <c r="IA18" i="79"/>
  <c r="FS18" i="79" s="1"/>
  <c r="N18" i="79"/>
  <c r="M18" i="79"/>
  <c r="IB18" i="79" s="1"/>
  <c r="L18" i="79"/>
  <c r="K18" i="79"/>
  <c r="J18" i="79"/>
  <c r="HQ18" i="79" s="1"/>
  <c r="IR17" i="79"/>
  <c r="IM17" i="79"/>
  <c r="IH17" i="79"/>
  <c r="IG17" i="79"/>
  <c r="IF17" i="79"/>
  <c r="IE17" i="79"/>
  <c r="GI17" i="79"/>
  <c r="GC17" i="79"/>
  <c r="GG17" i="79" s="1"/>
  <c r="N17" i="79"/>
  <c r="X17" i="79" s="1"/>
  <c r="M17" i="79"/>
  <c r="W17" i="79" s="1"/>
  <c r="L17" i="79"/>
  <c r="V17" i="79" s="1"/>
  <c r="K17" i="79"/>
  <c r="J17" i="79"/>
  <c r="HP17" i="79" s="1"/>
  <c r="N16" i="79"/>
  <c r="IG16" i="79" s="1"/>
  <c r="M16" i="79"/>
  <c r="L16" i="79"/>
  <c r="HY16" i="79" s="1"/>
  <c r="K16" i="79"/>
  <c r="HT16" i="79" s="1"/>
  <c r="J16" i="79"/>
  <c r="AC13" i="79"/>
  <c r="B12" i="79"/>
  <c r="A9" i="79"/>
  <c r="E61" i="79" s="1"/>
  <c r="E62" i="79" s="1"/>
  <c r="E63" i="79" s="1"/>
  <c r="E64" i="79" s="1"/>
  <c r="E65" i="79" s="1"/>
  <c r="E66" i="79" s="1"/>
  <c r="A8" i="79"/>
  <c r="A7" i="79"/>
  <c r="A6" i="79"/>
  <c r="A5" i="79"/>
  <c r="A4" i="79"/>
  <c r="E58" i="79" s="1"/>
  <c r="A3" i="79"/>
  <c r="E57" i="79" s="1"/>
  <c r="A2" i="79"/>
  <c r="EY72" i="78"/>
  <c r="BC72" i="78"/>
  <c r="HD42" i="78"/>
  <c r="IT20" i="78"/>
  <c r="IS20" i="78"/>
  <c r="IR20" i="78"/>
  <c r="IQ20" i="78"/>
  <c r="IP20" i="78"/>
  <c r="IO20" i="78"/>
  <c r="IN20" i="78"/>
  <c r="IM20" i="78"/>
  <c r="IL20" i="78"/>
  <c r="IK20" i="78"/>
  <c r="IJ20" i="78"/>
  <c r="II20" i="78"/>
  <c r="IH20" i="78"/>
  <c r="IG20" i="78"/>
  <c r="IF20" i="78"/>
  <c r="IE20" i="78"/>
  <c r="ID20" i="78"/>
  <c r="IC20" i="78"/>
  <c r="IB20" i="78"/>
  <c r="IA20" i="78"/>
  <c r="HZ20" i="78"/>
  <c r="HY20" i="78"/>
  <c r="HX20" i="78"/>
  <c r="HW20" i="78"/>
  <c r="HV20" i="78"/>
  <c r="HU20" i="78"/>
  <c r="HT20" i="78"/>
  <c r="HS20" i="78"/>
  <c r="HR20" i="78"/>
  <c r="HQ20" i="78"/>
  <c r="HP20" i="78"/>
  <c r="HO20" i="78"/>
  <c r="GI20" i="78"/>
  <c r="GC20" i="78"/>
  <c r="GG20" i="78" s="1"/>
  <c r="FY20" i="78"/>
  <c r="FS20" i="78"/>
  <c r="FW20" i="78" s="1"/>
  <c r="FO20" i="78"/>
  <c r="FI20" i="78"/>
  <c r="FM20" i="78" s="1"/>
  <c r="FE20" i="78"/>
  <c r="EY20" i="78"/>
  <c r="FC20" i="78" s="1"/>
  <c r="EU20" i="78"/>
  <c r="EO20" i="78"/>
  <c r="ES20" i="78" s="1"/>
  <c r="AB20" i="78"/>
  <c r="HH20" i="78" s="1"/>
  <c r="AA20" i="78"/>
  <c r="HA20" i="78" s="1"/>
  <c r="Z20" i="78"/>
  <c r="GT20" i="78" s="1"/>
  <c r="Y20" i="78"/>
  <c r="GM20" i="78" s="1"/>
  <c r="N20" i="78"/>
  <c r="M20" i="78"/>
  <c r="L20" i="78"/>
  <c r="Q20" i="78" s="1"/>
  <c r="K20" i="78"/>
  <c r="J20" i="78"/>
  <c r="D20" i="78"/>
  <c r="B20" i="78"/>
  <c r="IF19" i="78"/>
  <c r="N19" i="78"/>
  <c r="S19" i="78" s="1"/>
  <c r="M19" i="78"/>
  <c r="IC19" i="78" s="1"/>
  <c r="L19" i="78"/>
  <c r="V19" i="78" s="1"/>
  <c r="K19" i="78"/>
  <c r="HU19" i="78" s="1"/>
  <c r="J19" i="78"/>
  <c r="HQ19" i="78" s="1"/>
  <c r="B19" i="78"/>
  <c r="N18" i="78"/>
  <c r="S18" i="78" s="1"/>
  <c r="M18" i="78"/>
  <c r="R18" i="78" s="1"/>
  <c r="L18" i="78"/>
  <c r="Q18" i="78" s="1"/>
  <c r="K18" i="78"/>
  <c r="HT18" i="78" s="1"/>
  <c r="J18" i="78"/>
  <c r="IR17" i="78"/>
  <c r="IM17" i="78"/>
  <c r="IH17" i="78"/>
  <c r="IG17" i="78"/>
  <c r="IF17" i="78"/>
  <c r="IE17" i="78"/>
  <c r="GI17" i="78"/>
  <c r="GC17" i="78"/>
  <c r="GG17" i="78" s="1"/>
  <c r="N17" i="78"/>
  <c r="X17" i="78" s="1"/>
  <c r="M17" i="78"/>
  <c r="W17" i="78" s="1"/>
  <c r="L17" i="78"/>
  <c r="HY17" i="78" s="1"/>
  <c r="K17" i="78"/>
  <c r="U17" i="78" s="1"/>
  <c r="J17" i="78"/>
  <c r="O17" i="78" s="1"/>
  <c r="IR16" i="78"/>
  <c r="IM16" i="78"/>
  <c r="IH16" i="78"/>
  <c r="IG16" i="78"/>
  <c r="IF16" i="78"/>
  <c r="IE16" i="78"/>
  <c r="GI16" i="78"/>
  <c r="GC16" i="78"/>
  <c r="GG16" i="78" s="1"/>
  <c r="N16" i="78"/>
  <c r="X16" i="78" s="1"/>
  <c r="M16" i="78"/>
  <c r="ID16" i="78" s="1"/>
  <c r="L16" i="78"/>
  <c r="HY16" i="78" s="1"/>
  <c r="K16" i="78"/>
  <c r="U16" i="78" s="1"/>
  <c r="J16" i="78"/>
  <c r="AC13" i="78"/>
  <c r="B12" i="78"/>
  <c r="A9" i="78"/>
  <c r="A8" i="78"/>
  <c r="E60" i="78" s="1"/>
  <c r="A7" i="78"/>
  <c r="A6" i="78"/>
  <c r="A5" i="78"/>
  <c r="A4" i="78"/>
  <c r="E58" i="78" s="1"/>
  <c r="A3" i="78"/>
  <c r="E57" i="78" s="1"/>
  <c r="A2" i="78"/>
  <c r="EY72" i="77"/>
  <c r="BC72" i="77"/>
  <c r="HD42" i="77"/>
  <c r="IT20" i="77"/>
  <c r="IS20" i="77"/>
  <c r="IR20" i="77"/>
  <c r="IQ20" i="77"/>
  <c r="IP20" i="77"/>
  <c r="IO20" i="77"/>
  <c r="IN20" i="77"/>
  <c r="IM20" i="77"/>
  <c r="IL20" i="77"/>
  <c r="IK20" i="77"/>
  <c r="IJ20" i="77"/>
  <c r="II20" i="77"/>
  <c r="IH20" i="77"/>
  <c r="IG20" i="77"/>
  <c r="IF20" i="77"/>
  <c r="IE20" i="77"/>
  <c r="ID20" i="77"/>
  <c r="IC20" i="77"/>
  <c r="IB20" i="77"/>
  <c r="IA20" i="77"/>
  <c r="HZ20" i="77"/>
  <c r="HY20" i="77"/>
  <c r="HX20" i="77"/>
  <c r="HW20" i="77"/>
  <c r="HV20" i="77"/>
  <c r="HU20" i="77"/>
  <c r="HT20" i="77"/>
  <c r="HS20" i="77"/>
  <c r="HR20" i="77"/>
  <c r="HQ20" i="77"/>
  <c r="HP20" i="77"/>
  <c r="HO20" i="77"/>
  <c r="GI20" i="77"/>
  <c r="GC20" i="77"/>
  <c r="GG20" i="77" s="1"/>
  <c r="FY20" i="77"/>
  <c r="FS20" i="77"/>
  <c r="FW20" i="77" s="1"/>
  <c r="FO20" i="77"/>
  <c r="FI20" i="77"/>
  <c r="FM20" i="77" s="1"/>
  <c r="FE20" i="77"/>
  <c r="EY20" i="77"/>
  <c r="FC20" i="77" s="1"/>
  <c r="EU20" i="77"/>
  <c r="EO20" i="77"/>
  <c r="ES20" i="77" s="1"/>
  <c r="AB20" i="77"/>
  <c r="HH20" i="77" s="1"/>
  <c r="AA20" i="77"/>
  <c r="HA20" i="77" s="1"/>
  <c r="Z20" i="77"/>
  <c r="GT20" i="77" s="1"/>
  <c r="Y20" i="77"/>
  <c r="GM20" i="77" s="1"/>
  <c r="N20" i="77"/>
  <c r="X20" i="77" s="1"/>
  <c r="M20" i="77"/>
  <c r="W20" i="77" s="1"/>
  <c r="L20" i="77"/>
  <c r="Q20" i="77" s="1"/>
  <c r="K20" i="77"/>
  <c r="U20" i="77" s="1"/>
  <c r="J20" i="77"/>
  <c r="O20" i="77" s="1"/>
  <c r="D20" i="77"/>
  <c r="B20" i="77"/>
  <c r="IH19" i="77"/>
  <c r="N19" i="77"/>
  <c r="S19" i="77" s="1"/>
  <c r="M19" i="77"/>
  <c r="W19" i="77" s="1"/>
  <c r="L19" i="77"/>
  <c r="Q19" i="77" s="1"/>
  <c r="K19" i="77"/>
  <c r="U19" i="77" s="1"/>
  <c r="J19" i="77"/>
  <c r="O19" i="77" s="1"/>
  <c r="B19" i="77"/>
  <c r="IG18" i="77"/>
  <c r="N18" i="77"/>
  <c r="X18" i="77" s="1"/>
  <c r="M18" i="77"/>
  <c r="ID18" i="77" s="1"/>
  <c r="L18" i="77"/>
  <c r="K18" i="77"/>
  <c r="P18" i="77" s="1"/>
  <c r="J18" i="77"/>
  <c r="T18" i="77" s="1"/>
  <c r="IG17" i="77"/>
  <c r="IE17" i="77"/>
  <c r="GC17" i="77"/>
  <c r="GG17" i="77" s="1"/>
  <c r="N17" i="77"/>
  <c r="X17" i="77" s="1"/>
  <c r="M17" i="77"/>
  <c r="IB17" i="77" s="1"/>
  <c r="L17" i="77"/>
  <c r="K17" i="77"/>
  <c r="P17" i="77" s="1"/>
  <c r="J17" i="77"/>
  <c r="T17" i="77" s="1"/>
  <c r="IR16" i="77"/>
  <c r="IM16" i="77"/>
  <c r="IH16" i="77"/>
  <c r="IG16" i="77"/>
  <c r="IF16" i="77"/>
  <c r="IE16" i="77"/>
  <c r="GI16" i="77"/>
  <c r="GC16" i="77"/>
  <c r="GG16" i="77" s="1"/>
  <c r="N16" i="77"/>
  <c r="X16" i="77" s="1"/>
  <c r="M16" i="77"/>
  <c r="IA16" i="77" s="1"/>
  <c r="L16" i="77"/>
  <c r="HY16" i="77" s="1"/>
  <c r="K16" i="77"/>
  <c r="J16" i="77"/>
  <c r="HQ16" i="77" s="1"/>
  <c r="AC13" i="77"/>
  <c r="B12" i="77"/>
  <c r="A9" i="77"/>
  <c r="E61" i="77" s="1"/>
  <c r="E62" i="77" s="1"/>
  <c r="E63" i="77" s="1"/>
  <c r="E64" i="77" s="1"/>
  <c r="E65" i="77" s="1"/>
  <c r="E66" i="77" s="1"/>
  <c r="A8" i="77"/>
  <c r="A7" i="77"/>
  <c r="A6" i="77"/>
  <c r="A5" i="77"/>
  <c r="A4" i="77"/>
  <c r="E58" i="77" s="1"/>
  <c r="A3" i="77"/>
  <c r="E57" i="77" s="1"/>
  <c r="A2" i="77"/>
  <c r="EY72" i="76"/>
  <c r="BC72" i="76"/>
  <c r="HD42" i="76"/>
  <c r="IR20" i="76"/>
  <c r="IM20" i="76"/>
  <c r="IH20" i="76"/>
  <c r="IG20" i="76"/>
  <c r="IF20" i="76"/>
  <c r="IE20" i="76"/>
  <c r="GI20" i="76"/>
  <c r="GC20" i="76"/>
  <c r="GG20" i="76" s="1"/>
  <c r="N20" i="76"/>
  <c r="X20" i="76" s="1"/>
  <c r="M20" i="76"/>
  <c r="R20" i="76" s="1"/>
  <c r="L20" i="76"/>
  <c r="HY20" i="76" s="1"/>
  <c r="K20" i="76"/>
  <c r="HS20" i="76" s="1"/>
  <c r="J20" i="76"/>
  <c r="HO20" i="76" s="1"/>
  <c r="EO20" i="76" s="1"/>
  <c r="D20" i="76"/>
  <c r="B20" i="76"/>
  <c r="IH19" i="76"/>
  <c r="N19" i="76"/>
  <c r="IG19" i="76" s="1"/>
  <c r="M19" i="76"/>
  <c r="IB19" i="76" s="1"/>
  <c r="L19" i="76"/>
  <c r="HY19" i="76" s="1"/>
  <c r="K19" i="76"/>
  <c r="HS19" i="76" s="1"/>
  <c r="J19" i="76"/>
  <c r="HO19" i="76" s="1"/>
  <c r="D19" i="76"/>
  <c r="B19" i="76"/>
  <c r="N18" i="76"/>
  <c r="X18" i="76" s="1"/>
  <c r="M18" i="76"/>
  <c r="ID18" i="76" s="1"/>
  <c r="L18" i="76"/>
  <c r="Q18" i="76" s="1"/>
  <c r="K18" i="76"/>
  <c r="U18" i="76" s="1"/>
  <c r="J18" i="76"/>
  <c r="T18" i="76" s="1"/>
  <c r="IG17" i="76"/>
  <c r="N17" i="76"/>
  <c r="X17" i="76" s="1"/>
  <c r="M17" i="76"/>
  <c r="IC17" i="76" s="1"/>
  <c r="L17" i="76"/>
  <c r="Q17" i="76" s="1"/>
  <c r="K17" i="76"/>
  <c r="U17" i="76" s="1"/>
  <c r="J17" i="76"/>
  <c r="HR17" i="76" s="1"/>
  <c r="IG16" i="76"/>
  <c r="N16" i="76"/>
  <c r="S16" i="76" s="1"/>
  <c r="M16" i="76"/>
  <c r="R16" i="76" s="1"/>
  <c r="L16" i="76"/>
  <c r="Q16" i="76" s="1"/>
  <c r="K16" i="76"/>
  <c r="U16" i="76" s="1"/>
  <c r="J16" i="76"/>
  <c r="AC13" i="76"/>
  <c r="B12" i="76"/>
  <c r="A9" i="76"/>
  <c r="A8" i="76"/>
  <c r="A7" i="76"/>
  <c r="E59" i="76" s="1"/>
  <c r="A6" i="76"/>
  <c r="A5" i="76"/>
  <c r="A4" i="76"/>
  <c r="A3" i="76"/>
  <c r="E57" i="76" s="1"/>
  <c r="A2" i="76"/>
  <c r="EY72" i="75"/>
  <c r="BC72" i="75"/>
  <c r="HD42" i="75"/>
  <c r="IT20" i="75"/>
  <c r="IS20" i="75"/>
  <c r="IR20" i="75"/>
  <c r="IQ20" i="75"/>
  <c r="IP20" i="75"/>
  <c r="IO20" i="75"/>
  <c r="IN20" i="75"/>
  <c r="IM20" i="75"/>
  <c r="IL20" i="75"/>
  <c r="IK20" i="75"/>
  <c r="IJ20" i="75"/>
  <c r="II20" i="75"/>
  <c r="IH20" i="75"/>
  <c r="IG20" i="75"/>
  <c r="IF20" i="75"/>
  <c r="IE20" i="75"/>
  <c r="ID20" i="75"/>
  <c r="IC20" i="75"/>
  <c r="IB20" i="75"/>
  <c r="IA20" i="75"/>
  <c r="HZ20" i="75"/>
  <c r="HY20" i="75"/>
  <c r="HX20" i="75"/>
  <c r="HW20" i="75"/>
  <c r="HV20" i="75"/>
  <c r="HU20" i="75"/>
  <c r="HT20" i="75"/>
  <c r="HS20" i="75"/>
  <c r="HR20" i="75"/>
  <c r="HQ20" i="75"/>
  <c r="HP20" i="75"/>
  <c r="HO20" i="75"/>
  <c r="GI20" i="75"/>
  <c r="GC20" i="75"/>
  <c r="GG20" i="75" s="1"/>
  <c r="FY20" i="75"/>
  <c r="FS20" i="75"/>
  <c r="FW20" i="75" s="1"/>
  <c r="FO20" i="75"/>
  <c r="FI20" i="75"/>
  <c r="FM20" i="75" s="1"/>
  <c r="FE20" i="75"/>
  <c r="EY20" i="75"/>
  <c r="FC20" i="75" s="1"/>
  <c r="EU20" i="75"/>
  <c r="EO20" i="75"/>
  <c r="ES20" i="75" s="1"/>
  <c r="AB20" i="75"/>
  <c r="HH20" i="75" s="1"/>
  <c r="AA20" i="75"/>
  <c r="HA20" i="75" s="1"/>
  <c r="Z20" i="75"/>
  <c r="GT20" i="75" s="1"/>
  <c r="Y20" i="75"/>
  <c r="GM20" i="75" s="1"/>
  <c r="N20" i="75"/>
  <c r="X20" i="75" s="1"/>
  <c r="M20" i="75"/>
  <c r="L20" i="75"/>
  <c r="V20" i="75" s="1"/>
  <c r="K20" i="75"/>
  <c r="P20" i="75" s="1"/>
  <c r="J20" i="75"/>
  <c r="T20" i="75" s="1"/>
  <c r="HR19" i="75"/>
  <c r="N19" i="75"/>
  <c r="S19" i="75" s="1"/>
  <c r="M19" i="75"/>
  <c r="R19" i="75" s="1"/>
  <c r="L19" i="75"/>
  <c r="V19" i="75" s="1"/>
  <c r="K19" i="75"/>
  <c r="U19" i="75" s="1"/>
  <c r="J19" i="75"/>
  <c r="HQ19" i="75" s="1"/>
  <c r="IF18" i="75"/>
  <c r="N18" i="75"/>
  <c r="IH18" i="75" s="1"/>
  <c r="GI18" i="75" s="1"/>
  <c r="IR18" i="75" s="1"/>
  <c r="M18" i="75"/>
  <c r="ID18" i="75" s="1"/>
  <c r="FY18" i="75" s="1"/>
  <c r="IQ18" i="75" s="1"/>
  <c r="L18" i="75"/>
  <c r="HW18" i="75" s="1"/>
  <c r="K18" i="75"/>
  <c r="HS18" i="75" s="1"/>
  <c r="J18" i="75"/>
  <c r="HO18" i="75" s="1"/>
  <c r="IR17" i="75"/>
  <c r="IM17" i="75"/>
  <c r="IH17" i="75"/>
  <c r="IG17" i="75"/>
  <c r="IF17" i="75"/>
  <c r="IE17" i="75"/>
  <c r="GI17" i="75"/>
  <c r="GC17" i="75"/>
  <c r="GG17" i="75" s="1"/>
  <c r="N17" i="75"/>
  <c r="X17" i="75" s="1"/>
  <c r="M17" i="75"/>
  <c r="IC17" i="75" s="1"/>
  <c r="L17" i="75"/>
  <c r="HW17" i="75" s="1"/>
  <c r="K17" i="75"/>
  <c r="HS17" i="75" s="1"/>
  <c r="J17" i="75"/>
  <c r="HO17" i="75" s="1"/>
  <c r="IR16" i="75"/>
  <c r="IM16" i="75"/>
  <c r="IH16" i="75"/>
  <c r="IG16" i="75"/>
  <c r="IF16" i="75"/>
  <c r="IE16" i="75"/>
  <c r="GI16" i="75"/>
  <c r="GC16" i="75"/>
  <c r="GG16" i="75" s="1"/>
  <c r="N16" i="75"/>
  <c r="S16" i="75" s="1"/>
  <c r="M16" i="75"/>
  <c r="IA16" i="75" s="1"/>
  <c r="FS16" i="75" s="1"/>
  <c r="L16" i="75"/>
  <c r="HW16" i="75" s="1"/>
  <c r="K16" i="75"/>
  <c r="HS16" i="75" s="1"/>
  <c r="J16" i="75"/>
  <c r="HQ16" i="75" s="1"/>
  <c r="A9" i="75"/>
  <c r="E61" i="75" s="1"/>
  <c r="E62" i="75" s="1"/>
  <c r="E63" i="75" s="1"/>
  <c r="E64" i="75" s="1"/>
  <c r="E65" i="75" s="1"/>
  <c r="E66" i="75" s="1"/>
  <c r="A7" i="75"/>
  <c r="E59" i="75" s="1"/>
  <c r="A6" i="75"/>
  <c r="A4" i="75"/>
  <c r="A1" i="75"/>
  <c r="EY72" i="74"/>
  <c r="BC72" i="74"/>
  <c r="HD42" i="74"/>
  <c r="IR20" i="74"/>
  <c r="IM20" i="74"/>
  <c r="IH20" i="74"/>
  <c r="IG20" i="74"/>
  <c r="IF20" i="74"/>
  <c r="IE20" i="74"/>
  <c r="IC20" i="74"/>
  <c r="IA20" i="74"/>
  <c r="FS20" i="74" s="1"/>
  <c r="FW20" i="74" s="1"/>
  <c r="GI20" i="74"/>
  <c r="GC20" i="74"/>
  <c r="GG20" i="74" s="1"/>
  <c r="N20" i="74"/>
  <c r="M20" i="74"/>
  <c r="R20" i="74" s="1"/>
  <c r="L20" i="74"/>
  <c r="V20" i="74" s="1"/>
  <c r="K20" i="74"/>
  <c r="HV20" i="74" s="1"/>
  <c r="J20" i="74"/>
  <c r="HQ20" i="74" s="1"/>
  <c r="D20" i="74"/>
  <c r="B20" i="74"/>
  <c r="N19" i="74"/>
  <c r="X19" i="74" s="1"/>
  <c r="M19" i="74"/>
  <c r="IC19" i="74" s="1"/>
  <c r="L19" i="74"/>
  <c r="Q19" i="74" s="1"/>
  <c r="K19" i="74"/>
  <c r="P19" i="74" s="1"/>
  <c r="J19" i="74"/>
  <c r="T19" i="74" s="1"/>
  <c r="D19" i="74"/>
  <c r="B19" i="74"/>
  <c r="N18" i="74"/>
  <c r="S18" i="74" s="1"/>
  <c r="M18" i="74"/>
  <c r="IA18" i="74" s="1"/>
  <c r="L18" i="74"/>
  <c r="HW18" i="74" s="1"/>
  <c r="K18" i="74"/>
  <c r="HT18" i="74" s="1"/>
  <c r="J18" i="74"/>
  <c r="HO18" i="74" s="1"/>
  <c r="N17" i="74"/>
  <c r="X17" i="74" s="1"/>
  <c r="M17" i="74"/>
  <c r="R17" i="74" s="1"/>
  <c r="L17" i="74"/>
  <c r="HW17" i="74" s="1"/>
  <c r="K17" i="74"/>
  <c r="HV17" i="74" s="1"/>
  <c r="J17" i="74"/>
  <c r="HO17" i="74" s="1"/>
  <c r="EO17" i="74" s="1"/>
  <c r="N16" i="74"/>
  <c r="IH16" i="74" s="1"/>
  <c r="M16" i="74"/>
  <c r="W16" i="74" s="1"/>
  <c r="L16" i="74"/>
  <c r="HW16" i="74" s="1"/>
  <c r="FI16" i="74" s="1"/>
  <c r="K16" i="74"/>
  <c r="HT16" i="74" s="1"/>
  <c r="J16" i="74"/>
  <c r="HR16" i="74" s="1"/>
  <c r="AC13" i="74"/>
  <c r="B12" i="74"/>
  <c r="A9" i="74"/>
  <c r="A8" i="74"/>
  <c r="A7" i="74"/>
  <c r="A6" i="74"/>
  <c r="A5" i="74"/>
  <c r="A4" i="74"/>
  <c r="A3" i="74"/>
  <c r="E57" i="74" s="1"/>
  <c r="A2" i="74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7" i="6"/>
  <c r="J16" i="67"/>
  <c r="O16" i="67" s="1"/>
  <c r="K16" i="67"/>
  <c r="U16" i="67" s="1"/>
  <c r="L16" i="67"/>
  <c r="V16" i="67" s="1"/>
  <c r="M16" i="67"/>
  <c r="W16" i="67" s="1"/>
  <c r="N16" i="67"/>
  <c r="S16" i="67" s="1"/>
  <c r="J17" i="67"/>
  <c r="O17" i="67" s="1"/>
  <c r="K17" i="67"/>
  <c r="P17" i="67" s="1"/>
  <c r="L17" i="67"/>
  <c r="M17" i="67"/>
  <c r="R17" i="67" s="1"/>
  <c r="N17" i="67"/>
  <c r="X17" i="67" s="1"/>
  <c r="J18" i="67"/>
  <c r="O18" i="67" s="1"/>
  <c r="K18" i="67"/>
  <c r="U18" i="67" s="1"/>
  <c r="L18" i="67"/>
  <c r="Q18" i="67" s="1"/>
  <c r="M18" i="67"/>
  <c r="W18" i="67" s="1"/>
  <c r="N18" i="67"/>
  <c r="X18" i="67" s="1"/>
  <c r="J19" i="67"/>
  <c r="K19" i="67"/>
  <c r="P19" i="67" s="1"/>
  <c r="L19" i="67"/>
  <c r="V19" i="67" s="1"/>
  <c r="M19" i="67"/>
  <c r="N19" i="67"/>
  <c r="J20" i="67"/>
  <c r="O20" i="67" s="1"/>
  <c r="K20" i="67"/>
  <c r="U20" i="67" s="1"/>
  <c r="L20" i="67"/>
  <c r="V20" i="67" s="1"/>
  <c r="M20" i="67"/>
  <c r="N20" i="67"/>
  <c r="S20" i="67" s="1"/>
  <c r="Y20" i="67"/>
  <c r="Z20" i="67"/>
  <c r="AA20" i="67"/>
  <c r="AB20" i="67"/>
  <c r="EY72" i="72"/>
  <c r="BC72" i="72"/>
  <c r="HD42" i="72"/>
  <c r="IH20" i="72"/>
  <c r="IF20" i="72"/>
  <c r="GI20" i="72"/>
  <c r="IR20" i="72" s="1"/>
  <c r="N20" i="72"/>
  <c r="X20" i="72" s="1"/>
  <c r="M20" i="72"/>
  <c r="IC20" i="72" s="1"/>
  <c r="L20" i="72"/>
  <c r="Q20" i="72" s="1"/>
  <c r="K20" i="72"/>
  <c r="P20" i="72" s="1"/>
  <c r="J20" i="72"/>
  <c r="T20" i="72" s="1"/>
  <c r="IR19" i="72"/>
  <c r="IM19" i="72"/>
  <c r="IH19" i="72"/>
  <c r="IG19" i="72"/>
  <c r="IF19" i="72"/>
  <c r="IE19" i="72"/>
  <c r="GI19" i="72"/>
  <c r="GC19" i="72"/>
  <c r="GG19" i="72" s="1"/>
  <c r="N19" i="72"/>
  <c r="M19" i="72"/>
  <c r="ID19" i="72" s="1"/>
  <c r="L19" i="72"/>
  <c r="HY19" i="72" s="1"/>
  <c r="K19" i="72"/>
  <c r="U19" i="72" s="1"/>
  <c r="J19" i="72"/>
  <c r="HR19" i="72" s="1"/>
  <c r="IR18" i="72"/>
  <c r="IM18" i="72"/>
  <c r="IH18" i="72"/>
  <c r="IG18" i="72"/>
  <c r="IF18" i="72"/>
  <c r="IE18" i="72"/>
  <c r="GI18" i="72"/>
  <c r="GC18" i="72"/>
  <c r="GG18" i="72" s="1"/>
  <c r="N18" i="72"/>
  <c r="M18" i="72"/>
  <c r="W18" i="72" s="1"/>
  <c r="L18" i="72"/>
  <c r="HZ18" i="72" s="1"/>
  <c r="K18" i="72"/>
  <c r="P18" i="72" s="1"/>
  <c r="J18" i="72"/>
  <c r="HQ18" i="72" s="1"/>
  <c r="N17" i="72"/>
  <c r="IG17" i="72" s="1"/>
  <c r="M17" i="72"/>
  <c r="W17" i="72" s="1"/>
  <c r="L17" i="72"/>
  <c r="HW17" i="72" s="1"/>
  <c r="K17" i="72"/>
  <c r="P17" i="72" s="1"/>
  <c r="J17" i="72"/>
  <c r="HR17" i="72" s="1"/>
  <c r="N16" i="72"/>
  <c r="IG16" i="72" s="1"/>
  <c r="M16" i="72"/>
  <c r="W16" i="72" s="1"/>
  <c r="L16" i="72"/>
  <c r="HW16" i="72" s="1"/>
  <c r="K16" i="72"/>
  <c r="P16" i="72" s="1"/>
  <c r="J16" i="72"/>
  <c r="HO16" i="72" s="1"/>
  <c r="B12" i="72"/>
  <c r="A8" i="72"/>
  <c r="E60" i="72" s="1"/>
  <c r="A7" i="72"/>
  <c r="A5" i="72"/>
  <c r="A4" i="72"/>
  <c r="A2" i="72"/>
  <c r="B19" i="72" s="1"/>
  <c r="EY72" i="71"/>
  <c r="BC72" i="71"/>
  <c r="HD42" i="71"/>
  <c r="IR20" i="71"/>
  <c r="IM20" i="71"/>
  <c r="IH20" i="71"/>
  <c r="IG20" i="71"/>
  <c r="IF20" i="71"/>
  <c r="IE20" i="71"/>
  <c r="GI20" i="71"/>
  <c r="GC20" i="71"/>
  <c r="GG20" i="71" s="1"/>
  <c r="N20" i="71"/>
  <c r="X20" i="71" s="1"/>
  <c r="M20" i="71"/>
  <c r="IC20" i="71" s="1"/>
  <c r="L20" i="71"/>
  <c r="HZ20" i="71" s="1"/>
  <c r="K20" i="71"/>
  <c r="P20" i="71" s="1"/>
  <c r="J20" i="71"/>
  <c r="T20" i="71" s="1"/>
  <c r="D20" i="71"/>
  <c r="B20" i="71"/>
  <c r="IH19" i="71"/>
  <c r="IF19" i="71"/>
  <c r="ID19" i="71"/>
  <c r="IB19" i="71"/>
  <c r="GI19" i="71"/>
  <c r="IR19" i="71" s="1"/>
  <c r="FY19" i="71"/>
  <c r="IQ19" i="71" s="1"/>
  <c r="N19" i="71"/>
  <c r="IG19" i="71" s="1"/>
  <c r="M19" i="71"/>
  <c r="R19" i="71" s="1"/>
  <c r="L19" i="71"/>
  <c r="HY19" i="71" s="1"/>
  <c r="K19" i="71"/>
  <c r="HU19" i="71" s="1"/>
  <c r="J19" i="71"/>
  <c r="HR19" i="71" s="1"/>
  <c r="D19" i="71"/>
  <c r="B19" i="71"/>
  <c r="N18" i="71"/>
  <c r="IG18" i="71" s="1"/>
  <c r="M18" i="71"/>
  <c r="IB18" i="71" s="1"/>
  <c r="L18" i="71"/>
  <c r="HY18" i="71" s="1"/>
  <c r="K18" i="71"/>
  <c r="J18" i="71"/>
  <c r="HO18" i="71" s="1"/>
  <c r="IR17" i="71"/>
  <c r="IQ17" i="71"/>
  <c r="IM17" i="71"/>
  <c r="IL17" i="71"/>
  <c r="IH17" i="71"/>
  <c r="IG17" i="71"/>
  <c r="IF17" i="71"/>
  <c r="IE17" i="71"/>
  <c r="ID17" i="71"/>
  <c r="IC17" i="71"/>
  <c r="IB17" i="71"/>
  <c r="IA17" i="71"/>
  <c r="GI17" i="71"/>
  <c r="GC17" i="71"/>
  <c r="GG17" i="71" s="1"/>
  <c r="FY17" i="71"/>
  <c r="FS17" i="71"/>
  <c r="FW17" i="71" s="1"/>
  <c r="N17" i="71"/>
  <c r="M17" i="71"/>
  <c r="W17" i="71" s="1"/>
  <c r="L17" i="71"/>
  <c r="K17" i="71"/>
  <c r="P17" i="71" s="1"/>
  <c r="J17" i="71"/>
  <c r="HR17" i="71" s="1"/>
  <c r="IR16" i="71"/>
  <c r="IM16" i="71"/>
  <c r="IH16" i="71"/>
  <c r="IG16" i="71"/>
  <c r="IF16" i="71"/>
  <c r="IE16" i="71"/>
  <c r="GI16" i="71"/>
  <c r="GC16" i="71"/>
  <c r="GG16" i="71" s="1"/>
  <c r="N16" i="71"/>
  <c r="M16" i="71"/>
  <c r="IA16" i="71" s="1"/>
  <c r="L16" i="71"/>
  <c r="HX16" i="71" s="1"/>
  <c r="K16" i="71"/>
  <c r="P16" i="71" s="1"/>
  <c r="J16" i="71"/>
  <c r="HQ16" i="71" s="1"/>
  <c r="AC13" i="71"/>
  <c r="B12" i="71"/>
  <c r="A9" i="71"/>
  <c r="A8" i="71"/>
  <c r="E60" i="71" s="1"/>
  <c r="A7" i="71"/>
  <c r="E59" i="71" s="1"/>
  <c r="A6" i="71"/>
  <c r="A5" i="71"/>
  <c r="A4" i="71"/>
  <c r="A3" i="71"/>
  <c r="E57" i="71" s="1"/>
  <c r="A2" i="71"/>
  <c r="EY72" i="70"/>
  <c r="BC72" i="70"/>
  <c r="HD42" i="70"/>
  <c r="N20" i="70"/>
  <c r="S20" i="70" s="1"/>
  <c r="M20" i="70"/>
  <c r="R20" i="70" s="1"/>
  <c r="L20" i="70"/>
  <c r="V20" i="70" s="1"/>
  <c r="K20" i="70"/>
  <c r="P20" i="70" s="1"/>
  <c r="J20" i="70"/>
  <c r="O20" i="70" s="1"/>
  <c r="N19" i="70"/>
  <c r="X19" i="70" s="1"/>
  <c r="M19" i="70"/>
  <c r="R19" i="70" s="1"/>
  <c r="L19" i="70"/>
  <c r="Q19" i="70" s="1"/>
  <c r="K19" i="70"/>
  <c r="P19" i="70" s="1"/>
  <c r="J19" i="70"/>
  <c r="T19" i="70" s="1"/>
  <c r="IR18" i="70"/>
  <c r="IM18" i="70"/>
  <c r="IH18" i="70"/>
  <c r="IG18" i="70"/>
  <c r="IF18" i="70"/>
  <c r="IE18" i="70"/>
  <c r="ID18" i="70"/>
  <c r="IB18" i="70"/>
  <c r="GI18" i="70"/>
  <c r="GC18" i="70"/>
  <c r="GG18" i="70" s="1"/>
  <c r="FY18" i="70"/>
  <c r="IQ18" i="70" s="1"/>
  <c r="N18" i="70"/>
  <c r="X18" i="70" s="1"/>
  <c r="M18" i="70"/>
  <c r="R18" i="70" s="1"/>
  <c r="L18" i="70"/>
  <c r="V18" i="70" s="1"/>
  <c r="K18" i="70"/>
  <c r="P18" i="70" s="1"/>
  <c r="J18" i="70"/>
  <c r="HQ18" i="70" s="1"/>
  <c r="N17" i="70"/>
  <c r="X17" i="70" s="1"/>
  <c r="M17" i="70"/>
  <c r="R17" i="70" s="1"/>
  <c r="L17" i="70"/>
  <c r="V17" i="70" s="1"/>
  <c r="K17" i="70"/>
  <c r="P17" i="70" s="1"/>
  <c r="J17" i="70"/>
  <c r="HQ17" i="70" s="1"/>
  <c r="IG16" i="70"/>
  <c r="IE16" i="70"/>
  <c r="GC16" i="70"/>
  <c r="GG16" i="70" s="1"/>
  <c r="N16" i="70"/>
  <c r="X16" i="70" s="1"/>
  <c r="M16" i="70"/>
  <c r="R16" i="70" s="1"/>
  <c r="L16" i="70"/>
  <c r="V16" i="70" s="1"/>
  <c r="K16" i="70"/>
  <c r="P16" i="70" s="1"/>
  <c r="J16" i="70"/>
  <c r="HR16" i="70" s="1"/>
  <c r="B12" i="70"/>
  <c r="A9" i="70"/>
  <c r="A8" i="70"/>
  <c r="A7" i="70"/>
  <c r="A6" i="70"/>
  <c r="A5" i="70"/>
  <c r="A4" i="70"/>
  <c r="A3" i="70"/>
  <c r="B20" i="70" s="1"/>
  <c r="A2" i="70"/>
  <c r="B19" i="70" s="1"/>
  <c r="EY72" i="69"/>
  <c r="BC72" i="69"/>
  <c r="HD42" i="69"/>
  <c r="IT20" i="69"/>
  <c r="IS20" i="69"/>
  <c r="IR20" i="69"/>
  <c r="IQ20" i="69"/>
  <c r="IP20" i="69"/>
  <c r="IO20" i="69"/>
  <c r="IN20" i="69"/>
  <c r="IM20" i="69"/>
  <c r="IL20" i="69"/>
  <c r="IK20" i="69"/>
  <c r="IJ20" i="69"/>
  <c r="II20" i="69"/>
  <c r="IH20" i="69"/>
  <c r="IG20" i="69"/>
  <c r="IF20" i="69"/>
  <c r="IE20" i="69"/>
  <c r="ID20" i="69"/>
  <c r="IC20" i="69"/>
  <c r="IB20" i="69"/>
  <c r="IA20" i="69"/>
  <c r="HZ20" i="69"/>
  <c r="HY20" i="69"/>
  <c r="HX20" i="69"/>
  <c r="HW20" i="69"/>
  <c r="HV20" i="69"/>
  <c r="HU20" i="69"/>
  <c r="HT20" i="69"/>
  <c r="HS20" i="69"/>
  <c r="HR20" i="69"/>
  <c r="HQ20" i="69"/>
  <c r="HP20" i="69"/>
  <c r="HO20" i="69"/>
  <c r="GI20" i="69"/>
  <c r="GC20" i="69"/>
  <c r="GG20" i="69" s="1"/>
  <c r="FY20" i="69"/>
  <c r="FS20" i="69"/>
  <c r="FW20" i="69" s="1"/>
  <c r="FO20" i="69"/>
  <c r="FI20" i="69"/>
  <c r="FM20" i="69" s="1"/>
  <c r="FE20" i="69"/>
  <c r="EY20" i="69"/>
  <c r="FC20" i="69" s="1"/>
  <c r="EU20" i="69"/>
  <c r="EO20" i="69"/>
  <c r="ES20" i="69" s="1"/>
  <c r="AB20" i="69"/>
  <c r="HH20" i="69" s="1"/>
  <c r="AA20" i="69"/>
  <c r="HA20" i="69" s="1"/>
  <c r="Z20" i="69"/>
  <c r="GT20" i="69" s="1"/>
  <c r="Y20" i="69"/>
  <c r="GM20" i="69" s="1"/>
  <c r="N20" i="69"/>
  <c r="X20" i="69" s="1"/>
  <c r="M20" i="69"/>
  <c r="R20" i="69" s="1"/>
  <c r="L20" i="69"/>
  <c r="Q20" i="69" s="1"/>
  <c r="K20" i="69"/>
  <c r="P20" i="69" s="1"/>
  <c r="J20" i="69"/>
  <c r="T20" i="69" s="1"/>
  <c r="IR19" i="69"/>
  <c r="IM19" i="69"/>
  <c r="IH19" i="69"/>
  <c r="IG19" i="69"/>
  <c r="IF19" i="69"/>
  <c r="IE19" i="69"/>
  <c r="GI19" i="69"/>
  <c r="GC19" i="69"/>
  <c r="GG19" i="69" s="1"/>
  <c r="N19" i="69"/>
  <c r="X19" i="69" s="1"/>
  <c r="M19" i="69"/>
  <c r="R19" i="69" s="1"/>
  <c r="L19" i="69"/>
  <c r="V19" i="69" s="1"/>
  <c r="K19" i="69"/>
  <c r="P19" i="69" s="1"/>
  <c r="J19" i="69"/>
  <c r="O19" i="69" s="1"/>
  <c r="N18" i="69"/>
  <c r="X18" i="69" s="1"/>
  <c r="M18" i="69"/>
  <c r="R18" i="69" s="1"/>
  <c r="L18" i="69"/>
  <c r="HY18" i="69" s="1"/>
  <c r="K18" i="69"/>
  <c r="P18" i="69" s="1"/>
  <c r="J18" i="69"/>
  <c r="T18" i="69" s="1"/>
  <c r="IG17" i="69"/>
  <c r="IE17" i="69"/>
  <c r="GC17" i="69"/>
  <c r="GG17" i="69" s="1"/>
  <c r="N17" i="69"/>
  <c r="X17" i="69" s="1"/>
  <c r="M17" i="69"/>
  <c r="R17" i="69" s="1"/>
  <c r="L17" i="69"/>
  <c r="HX17" i="69" s="1"/>
  <c r="K17" i="69"/>
  <c r="P17" i="69" s="1"/>
  <c r="J17" i="69"/>
  <c r="T17" i="69" s="1"/>
  <c r="IR16" i="69"/>
  <c r="IM16" i="69"/>
  <c r="IH16" i="69"/>
  <c r="IG16" i="69"/>
  <c r="IF16" i="69"/>
  <c r="IE16" i="69"/>
  <c r="GI16" i="69"/>
  <c r="GC16" i="69"/>
  <c r="GG16" i="69" s="1"/>
  <c r="N16" i="69"/>
  <c r="X16" i="69" s="1"/>
  <c r="M16" i="69"/>
  <c r="R16" i="69" s="1"/>
  <c r="L16" i="69"/>
  <c r="HX16" i="69" s="1"/>
  <c r="K16" i="69"/>
  <c r="P16" i="69" s="1"/>
  <c r="J16" i="69"/>
  <c r="T16" i="69" s="1"/>
  <c r="A7" i="69"/>
  <c r="A3" i="69"/>
  <c r="EY72" i="68"/>
  <c r="BC72" i="68"/>
  <c r="HD42" i="68"/>
  <c r="IR20" i="68"/>
  <c r="IQ20" i="68"/>
  <c r="IH20" i="68"/>
  <c r="IG20" i="68"/>
  <c r="ID20" i="68"/>
  <c r="IC20" i="68"/>
  <c r="HQ20" i="68"/>
  <c r="HO20" i="68"/>
  <c r="GI20" i="68"/>
  <c r="GC20" i="68"/>
  <c r="GG20" i="68" s="1"/>
  <c r="FY20" i="68"/>
  <c r="N20" i="68"/>
  <c r="S20" i="68" s="1"/>
  <c r="M20" i="68"/>
  <c r="R20" i="68" s="1"/>
  <c r="L20" i="68"/>
  <c r="V20" i="68" s="1"/>
  <c r="K20" i="68"/>
  <c r="U20" i="68" s="1"/>
  <c r="J20" i="68"/>
  <c r="O20" i="68" s="1"/>
  <c r="IH19" i="68"/>
  <c r="IF19" i="68"/>
  <c r="GI19" i="68"/>
  <c r="IR19" i="68" s="1"/>
  <c r="N19" i="68"/>
  <c r="X19" i="68" s="1"/>
  <c r="M19" i="68"/>
  <c r="W19" i="68" s="1"/>
  <c r="L19" i="68"/>
  <c r="Q19" i="68" s="1"/>
  <c r="K19" i="68"/>
  <c r="P19" i="68" s="1"/>
  <c r="J19" i="68"/>
  <c r="T19" i="68" s="1"/>
  <c r="IR18" i="68"/>
  <c r="IM18" i="68"/>
  <c r="IH18" i="68"/>
  <c r="IG18" i="68"/>
  <c r="IF18" i="68"/>
  <c r="IE18" i="68"/>
  <c r="GI18" i="68"/>
  <c r="GC18" i="68"/>
  <c r="GG18" i="68" s="1"/>
  <c r="N18" i="68"/>
  <c r="S18" i="68" s="1"/>
  <c r="M18" i="68"/>
  <c r="R18" i="68" s="1"/>
  <c r="L18" i="68"/>
  <c r="V18" i="68" s="1"/>
  <c r="K18" i="68"/>
  <c r="HS18" i="68" s="1"/>
  <c r="J18" i="68"/>
  <c r="O18" i="68" s="1"/>
  <c r="IR17" i="68"/>
  <c r="IM17" i="68"/>
  <c r="IH17" i="68"/>
  <c r="IG17" i="68"/>
  <c r="IF17" i="68"/>
  <c r="IE17" i="68"/>
  <c r="GI17" i="68"/>
  <c r="GC17" i="68"/>
  <c r="GG17" i="68" s="1"/>
  <c r="N17" i="68"/>
  <c r="S17" i="68" s="1"/>
  <c r="M17" i="68"/>
  <c r="R17" i="68" s="1"/>
  <c r="L17" i="68"/>
  <c r="V17" i="68" s="1"/>
  <c r="K17" i="68"/>
  <c r="HT17" i="68" s="1"/>
  <c r="J17" i="68"/>
  <c r="O17" i="68" s="1"/>
  <c r="IB16" i="68"/>
  <c r="N16" i="68"/>
  <c r="S16" i="68" s="1"/>
  <c r="M16" i="68"/>
  <c r="R16" i="68" s="1"/>
  <c r="L16" i="68"/>
  <c r="V16" i="68" s="1"/>
  <c r="K16" i="68"/>
  <c r="HT16" i="68" s="1"/>
  <c r="J16" i="68"/>
  <c r="O16" i="68" s="1"/>
  <c r="AC13" i="68"/>
  <c r="B12" i="68"/>
  <c r="A9" i="68"/>
  <c r="E61" i="68" s="1"/>
  <c r="E62" i="68" s="1"/>
  <c r="E63" i="68" s="1"/>
  <c r="E64" i="68" s="1"/>
  <c r="E65" i="68" s="1"/>
  <c r="E66" i="68" s="1"/>
  <c r="A8" i="68"/>
  <c r="A5" i="68"/>
  <c r="A4" i="68"/>
  <c r="IB19" i="91" l="1"/>
  <c r="ID19" i="91"/>
  <c r="IE16" i="91"/>
  <c r="GC16" i="91" s="1"/>
  <c r="IG16" i="91"/>
  <c r="GC16" i="84"/>
  <c r="IG16" i="84"/>
  <c r="IF16" i="84"/>
  <c r="GI16" i="84"/>
  <c r="IR16" i="84" s="1"/>
  <c r="IC19" i="86"/>
  <c r="FS19" i="86"/>
  <c r="IA19" i="86"/>
  <c r="FY19" i="86"/>
  <c r="IQ19" i="86" s="1"/>
  <c r="IB19" i="86"/>
  <c r="ID19" i="86"/>
  <c r="IC17" i="79"/>
  <c r="IA17" i="79"/>
  <c r="FS17" i="79" s="1"/>
  <c r="ID17" i="79"/>
  <c r="FY17" i="79" s="1"/>
  <c r="IQ17" i="79" s="1"/>
  <c r="IB17" i="79"/>
  <c r="IE19" i="74"/>
  <c r="GC19" i="74" s="1"/>
  <c r="IG19" i="74"/>
  <c r="GI17" i="74"/>
  <c r="IR17" i="74" s="1"/>
  <c r="IH17" i="74"/>
  <c r="IF17" i="74"/>
  <c r="IG17" i="74"/>
  <c r="GC17" i="74" s="1"/>
  <c r="IE17" i="74"/>
  <c r="IE19" i="75"/>
  <c r="GC19" i="75"/>
  <c r="IF19" i="75"/>
  <c r="GI19" i="75"/>
  <c r="IR19" i="75" s="1"/>
  <c r="IG19" i="75"/>
  <c r="IH19" i="75"/>
  <c r="IB19" i="75"/>
  <c r="ID19" i="75"/>
  <c r="FY19" i="75" s="1"/>
  <c r="IQ19" i="75" s="1"/>
  <c r="IC19" i="75"/>
  <c r="IA19" i="75"/>
  <c r="FS19" i="75" s="1"/>
  <c r="HZ19" i="75"/>
  <c r="HX19" i="75"/>
  <c r="EU19" i="75"/>
  <c r="IN19" i="75" s="1"/>
  <c r="HP19" i="75"/>
  <c r="IC16" i="75"/>
  <c r="IH18" i="76"/>
  <c r="GI18" i="76" s="1"/>
  <c r="IR18" i="76" s="1"/>
  <c r="IE20" i="68"/>
  <c r="IM20" i="68"/>
  <c r="IF20" i="68"/>
  <c r="IA20" i="68"/>
  <c r="FS20" i="68" s="1"/>
  <c r="IB20" i="68"/>
  <c r="EO20" i="68"/>
  <c r="ES20" i="68" s="1"/>
  <c r="IB19" i="68"/>
  <c r="ID19" i="68"/>
  <c r="FY19" i="68" s="1"/>
  <c r="IQ19" i="68" s="1"/>
  <c r="IM17" i="89"/>
  <c r="GI17" i="89"/>
  <c r="IR17" i="89" s="1"/>
  <c r="IF17" i="89"/>
  <c r="IG18" i="90"/>
  <c r="IE18" i="90"/>
  <c r="FS18" i="91"/>
  <c r="IA18" i="91"/>
  <c r="IC18" i="91"/>
  <c r="IF16" i="91"/>
  <c r="IH16" i="91"/>
  <c r="GI16" i="91" s="1"/>
  <c r="IR16" i="91" s="1"/>
  <c r="IA16" i="91"/>
  <c r="FS16" i="91" s="1"/>
  <c r="IC16" i="91"/>
  <c r="FY16" i="91"/>
  <c r="IQ16" i="91" s="1"/>
  <c r="IB16" i="91"/>
  <c r="HY20" i="87"/>
  <c r="FY19" i="87"/>
  <c r="IQ19" i="87" s="1"/>
  <c r="ID19" i="87"/>
  <c r="IK20" i="86"/>
  <c r="HX20" i="86"/>
  <c r="HZ20" i="86"/>
  <c r="FO20" i="86" s="1"/>
  <c r="IP20" i="86" s="1"/>
  <c r="EY20" i="86"/>
  <c r="HS20" i="86"/>
  <c r="HU20" i="86"/>
  <c r="Y20" i="86"/>
  <c r="GM20" i="86" s="1"/>
  <c r="HT20" i="86"/>
  <c r="HV20" i="86"/>
  <c r="FE20" i="86" s="1"/>
  <c r="IO20" i="86" s="1"/>
  <c r="HP20" i="86"/>
  <c r="HR20" i="86"/>
  <c r="EU20" i="86" s="1"/>
  <c r="IN20" i="86" s="1"/>
  <c r="EO20" i="86"/>
  <c r="HO20" i="86"/>
  <c r="HQ20" i="86"/>
  <c r="IF16" i="82"/>
  <c r="IH16" i="82"/>
  <c r="GI16" i="82" s="1"/>
  <c r="IR16" i="82" s="1"/>
  <c r="IE16" i="82"/>
  <c r="GC16" i="82" s="1"/>
  <c r="IA20" i="80"/>
  <c r="FS20" i="80" s="1"/>
  <c r="IC20" i="80"/>
  <c r="HX20" i="80"/>
  <c r="HT20" i="80"/>
  <c r="IF19" i="74"/>
  <c r="IH19" i="74"/>
  <c r="GI19" i="74" s="1"/>
  <c r="IR19" i="74" s="1"/>
  <c r="IB20" i="71"/>
  <c r="ID20" i="71"/>
  <c r="FY20" i="71" s="1"/>
  <c r="IQ20" i="71" s="1"/>
  <c r="FS20" i="71"/>
  <c r="IA20" i="71"/>
  <c r="HY20" i="71"/>
  <c r="HW19" i="77"/>
  <c r="FS16" i="77"/>
  <c r="IL16" i="77" s="1"/>
  <c r="IC16" i="77"/>
  <c r="IB16" i="77"/>
  <c r="IE20" i="70"/>
  <c r="GC20" i="70" s="1"/>
  <c r="IG20" i="70"/>
  <c r="IF20" i="70"/>
  <c r="IH20" i="70"/>
  <c r="GI20" i="70" s="1"/>
  <c r="IR20" i="70" s="1"/>
  <c r="IM17" i="69"/>
  <c r="IF17" i="69"/>
  <c r="IH17" i="69"/>
  <c r="GI17" i="69" s="1"/>
  <c r="IR17" i="69" s="1"/>
  <c r="FI20" i="68"/>
  <c r="HW20" i="68"/>
  <c r="HY20" i="68"/>
  <c r="HX20" i="68"/>
  <c r="HZ20" i="68"/>
  <c r="FO20" i="68" s="1"/>
  <c r="IP20" i="68" s="1"/>
  <c r="EY20" i="68"/>
  <c r="HS20" i="68"/>
  <c r="HU20" i="68"/>
  <c r="HT20" i="68"/>
  <c r="HV20" i="68"/>
  <c r="FE20" i="68" s="1"/>
  <c r="IO20" i="68" s="1"/>
  <c r="II20" i="68"/>
  <c r="HP20" i="68"/>
  <c r="HR20" i="68"/>
  <c r="EU20" i="68" s="1"/>
  <c r="IN20" i="68" s="1"/>
  <c r="GC19" i="68"/>
  <c r="IE19" i="68"/>
  <c r="IG19" i="68"/>
  <c r="IA19" i="68"/>
  <c r="FS19" i="68" s="1"/>
  <c r="IC19" i="68"/>
  <c r="IA18" i="68"/>
  <c r="FS18" i="68" s="1"/>
  <c r="IC18" i="68"/>
  <c r="IB18" i="68"/>
  <c r="ID18" i="68"/>
  <c r="FY18" i="68" s="1"/>
  <c r="IQ18" i="68" s="1"/>
  <c r="IE16" i="68"/>
  <c r="GC16" i="68"/>
  <c r="IF16" i="68"/>
  <c r="IH16" i="68"/>
  <c r="GI16" i="68" s="1"/>
  <c r="IR16" i="68" s="1"/>
  <c r="IG16" i="68"/>
  <c r="FY16" i="68"/>
  <c r="IQ16" i="68" s="1"/>
  <c r="ID16" i="68"/>
  <c r="FI20" i="92"/>
  <c r="HW20" i="92"/>
  <c r="HY20" i="92"/>
  <c r="HS20" i="92"/>
  <c r="EY20" i="92" s="1"/>
  <c r="HU20" i="92"/>
  <c r="HP20" i="92"/>
  <c r="HR20" i="92"/>
  <c r="EU20" i="92" s="1"/>
  <c r="IN20" i="92" s="1"/>
  <c r="IT20" i="92" s="1"/>
  <c r="EO20" i="92"/>
  <c r="HO20" i="92"/>
  <c r="HQ20" i="92"/>
  <c r="IA17" i="88"/>
  <c r="FS17" i="88" s="1"/>
  <c r="IC17" i="88"/>
  <c r="IF18" i="71"/>
  <c r="ID17" i="74"/>
  <c r="IA17" i="74"/>
  <c r="FS17" i="74" s="1"/>
  <c r="IB16" i="75"/>
  <c r="ID17" i="78"/>
  <c r="FY17" i="78" s="1"/>
  <c r="IQ17" i="78" s="1"/>
  <c r="IC17" i="78"/>
  <c r="HX19" i="80"/>
  <c r="FS17" i="80"/>
  <c r="IA17" i="80"/>
  <c r="IC17" i="80"/>
  <c r="FO17" i="81"/>
  <c r="IP17" i="81" s="1"/>
  <c r="HX17" i="81"/>
  <c r="IE17" i="82"/>
  <c r="GC17" i="82"/>
  <c r="GG17" i="82" s="1"/>
  <c r="IG17" i="82"/>
  <c r="IC17" i="82"/>
  <c r="IC16" i="83"/>
  <c r="ID20" i="84"/>
  <c r="FY20" i="84" s="1"/>
  <c r="IQ20" i="84" s="1"/>
  <c r="IM19" i="84"/>
  <c r="IF19" i="84"/>
  <c r="IH19" i="84"/>
  <c r="GI19" i="84" s="1"/>
  <c r="IR19" i="84" s="1"/>
  <c r="IA17" i="85"/>
  <c r="IC17" i="85"/>
  <c r="FS17" i="85" s="1"/>
  <c r="IE16" i="86"/>
  <c r="GC16" i="86" s="1"/>
  <c r="IG16" i="86"/>
  <c r="GI16" i="86"/>
  <c r="IR16" i="86" s="1"/>
  <c r="IF16" i="86"/>
  <c r="IE20" i="87"/>
  <c r="IG20" i="87"/>
  <c r="GC20" i="87"/>
  <c r="IF20" i="87"/>
  <c r="IH20" i="87"/>
  <c r="GI20" i="87" s="1"/>
  <c r="IR20" i="87" s="1"/>
  <c r="FS20" i="87"/>
  <c r="IB20" i="87"/>
  <c r="ID20" i="87"/>
  <c r="FY20" i="87" s="1"/>
  <c r="IQ20" i="87" s="1"/>
  <c r="IA19" i="87"/>
  <c r="FS19" i="87" s="1"/>
  <c r="IC19" i="87"/>
  <c r="T16" i="92"/>
  <c r="IA20" i="70"/>
  <c r="IC20" i="70"/>
  <c r="FS20" i="70" s="1"/>
  <c r="IB20" i="70"/>
  <c r="FY20" i="70" s="1"/>
  <c r="IQ20" i="70" s="1"/>
  <c r="ID20" i="70"/>
  <c r="IM16" i="70"/>
  <c r="IF16" i="70"/>
  <c r="IH16" i="70"/>
  <c r="GI16" i="70" s="1"/>
  <c r="IR16" i="70" s="1"/>
  <c r="IC16" i="70"/>
  <c r="IA16" i="70"/>
  <c r="FS16" i="70" s="1"/>
  <c r="IA16" i="68"/>
  <c r="FS16" i="68" s="1"/>
  <c r="IC16" i="68"/>
  <c r="GC18" i="90"/>
  <c r="GG18" i="90" s="1"/>
  <c r="IC19" i="92"/>
  <c r="IE17" i="76"/>
  <c r="GC17" i="76" s="1"/>
  <c r="GG17" i="76" s="1"/>
  <c r="IF19" i="77"/>
  <c r="IH19" i="78"/>
  <c r="HV20" i="80"/>
  <c r="FE20" i="80" s="1"/>
  <c r="IO20" i="80" s="1"/>
  <c r="HS19" i="81"/>
  <c r="HW19" i="68"/>
  <c r="FI19" i="68" s="1"/>
  <c r="FM19" i="68" s="1"/>
  <c r="X20" i="70"/>
  <c r="Q20" i="67"/>
  <c r="IA16" i="86"/>
  <c r="FS16" i="86" s="1"/>
  <c r="IL16" i="86" s="1"/>
  <c r="IE18" i="77"/>
  <c r="IA19" i="78"/>
  <c r="HZ20" i="80"/>
  <c r="FO20" i="80" s="1"/>
  <c r="IP20" i="80" s="1"/>
  <c r="IC19" i="81"/>
  <c r="HX20" i="89"/>
  <c r="HZ20" i="89"/>
  <c r="FO20" i="89" s="1"/>
  <c r="IP20" i="89" s="1"/>
  <c r="HW20" i="89"/>
  <c r="FI20" i="89" s="1"/>
  <c r="HY20" i="89"/>
  <c r="HT20" i="89"/>
  <c r="HV20" i="89"/>
  <c r="FE20" i="89" s="1"/>
  <c r="IO20" i="89" s="1"/>
  <c r="HS20" i="89"/>
  <c r="EY20" i="89" s="1"/>
  <c r="HU20" i="89"/>
  <c r="HP20" i="89"/>
  <c r="HR20" i="89"/>
  <c r="EU20" i="89" s="1"/>
  <c r="IN20" i="89" s="1"/>
  <c r="HO20" i="89"/>
  <c r="EO20" i="89" s="1"/>
  <c r="IB16" i="89"/>
  <c r="HW20" i="88"/>
  <c r="FI20" i="88" s="1"/>
  <c r="HY20" i="88"/>
  <c r="HX20" i="88"/>
  <c r="HZ20" i="88"/>
  <c r="FO20" i="88" s="1"/>
  <c r="IP20" i="88" s="1"/>
  <c r="HS20" i="88"/>
  <c r="EY20" i="88" s="1"/>
  <c r="HU20" i="88"/>
  <c r="HT20" i="88"/>
  <c r="HV20" i="88"/>
  <c r="FE20" i="88" s="1"/>
  <c r="IO20" i="88" s="1"/>
  <c r="HP20" i="88"/>
  <c r="HR20" i="88"/>
  <c r="EU20" i="88" s="1"/>
  <c r="IN20" i="88" s="1"/>
  <c r="HO20" i="88"/>
  <c r="EO20" i="88" s="1"/>
  <c r="IF16" i="88"/>
  <c r="IH16" i="88"/>
  <c r="GI16" i="88" s="1"/>
  <c r="IR16" i="88" s="1"/>
  <c r="IE16" i="88"/>
  <c r="GC16" i="88" s="1"/>
  <c r="IB16" i="88"/>
  <c r="IA16" i="88"/>
  <c r="IA19" i="92"/>
  <c r="FS19" i="92" s="1"/>
  <c r="IE19" i="90"/>
  <c r="GC19" i="90" s="1"/>
  <c r="IG19" i="90"/>
  <c r="IF18" i="90"/>
  <c r="IH18" i="90"/>
  <c r="GI18" i="90" s="1"/>
  <c r="IR18" i="90" s="1"/>
  <c r="IA17" i="90"/>
  <c r="ID16" i="90"/>
  <c r="FY16" i="90" s="1"/>
  <c r="IQ16" i="90" s="1"/>
  <c r="IB16" i="90"/>
  <c r="HU19" i="91"/>
  <c r="IF18" i="87"/>
  <c r="IH18" i="87"/>
  <c r="GI18" i="87"/>
  <c r="IR18" i="87" s="1"/>
  <c r="IG18" i="87"/>
  <c r="IH17" i="84"/>
  <c r="GI17" i="84" s="1"/>
  <c r="IR17" i="84" s="1"/>
  <c r="IF17" i="84"/>
  <c r="IB16" i="84"/>
  <c r="IC17" i="86"/>
  <c r="ID16" i="86"/>
  <c r="GI19" i="78"/>
  <c r="IR19" i="78" s="1"/>
  <c r="IE19" i="78"/>
  <c r="GC19" i="78" s="1"/>
  <c r="IG19" i="78"/>
  <c r="ID19" i="78"/>
  <c r="FY19" i="78" s="1"/>
  <c r="IQ19" i="78" s="1"/>
  <c r="FI20" i="80"/>
  <c r="HW20" i="80"/>
  <c r="EY20" i="80"/>
  <c r="HS20" i="80"/>
  <c r="HU20" i="80"/>
  <c r="HP20" i="80"/>
  <c r="HR20" i="80"/>
  <c r="EU20" i="80" s="1"/>
  <c r="IN20" i="80" s="1"/>
  <c r="HO20" i="80"/>
  <c r="EO20" i="80" s="1"/>
  <c r="HZ19" i="80"/>
  <c r="FO19" i="80" s="1"/>
  <c r="IP19" i="80" s="1"/>
  <c r="ID18" i="80"/>
  <c r="HY20" i="79"/>
  <c r="HO20" i="79"/>
  <c r="HU20" i="81"/>
  <c r="HQ20" i="81"/>
  <c r="HO20" i="81"/>
  <c r="EO20" i="81" s="1"/>
  <c r="IE19" i="81"/>
  <c r="IG19" i="81"/>
  <c r="GC19" i="81"/>
  <c r="IF19" i="81"/>
  <c r="IH19" i="81"/>
  <c r="GI19" i="81" s="1"/>
  <c r="IR19" i="81" s="1"/>
  <c r="FS19" i="81"/>
  <c r="IB19" i="81"/>
  <c r="EY19" i="81"/>
  <c r="FC19" i="81" s="1"/>
  <c r="HU19" i="81"/>
  <c r="HR19" i="81"/>
  <c r="EU19" i="81" s="1"/>
  <c r="IN19" i="81" s="1"/>
  <c r="HP19" i="81"/>
  <c r="IF19" i="82"/>
  <c r="IH19" i="82"/>
  <c r="GI19" i="82" s="1"/>
  <c r="IR19" i="82" s="1"/>
  <c r="GC19" i="82"/>
  <c r="IE19" i="82"/>
  <c r="IB19" i="82"/>
  <c r="ID19" i="82"/>
  <c r="FY19" i="82" s="1"/>
  <c r="IQ19" i="82" s="1"/>
  <c r="IA19" i="82"/>
  <c r="FS19" i="82" s="1"/>
  <c r="IC19" i="82"/>
  <c r="HY19" i="82"/>
  <c r="HW20" i="71"/>
  <c r="FI20" i="71" s="1"/>
  <c r="FM20" i="71" s="1"/>
  <c r="GI19" i="77"/>
  <c r="IR19" i="77" s="1"/>
  <c r="IE19" i="77"/>
  <c r="GC19" i="77" s="1"/>
  <c r="IG19" i="77"/>
  <c r="HX19" i="77"/>
  <c r="HT19" i="77"/>
  <c r="HQ19" i="77"/>
  <c r="HP19" i="77"/>
  <c r="IF18" i="77"/>
  <c r="Q19" i="76"/>
  <c r="IM17" i="76"/>
  <c r="IF17" i="76"/>
  <c r="IH17" i="76"/>
  <c r="GI17" i="76" s="1"/>
  <c r="IR17" i="76" s="1"/>
  <c r="IA17" i="69"/>
  <c r="FS17" i="69" s="1"/>
  <c r="S20" i="76"/>
  <c r="Q20" i="75"/>
  <c r="IH19" i="91"/>
  <c r="GI19" i="91" s="1"/>
  <c r="IR19" i="91" s="1"/>
  <c r="HY17" i="69"/>
  <c r="S18" i="67"/>
  <c r="S19" i="74"/>
  <c r="ID17" i="89"/>
  <c r="FY17" i="89" s="1"/>
  <c r="IQ17" i="89" s="1"/>
  <c r="HY18" i="89"/>
  <c r="HO19" i="91"/>
  <c r="EO19" i="91" s="1"/>
  <c r="HY20" i="72"/>
  <c r="IA17" i="76"/>
  <c r="FS17" i="76" s="1"/>
  <c r="IL17" i="76" s="1"/>
  <c r="IE17" i="70"/>
  <c r="GC17" i="70" s="1"/>
  <c r="IB18" i="72"/>
  <c r="IF18" i="89"/>
  <c r="HQ19" i="91"/>
  <c r="HP19" i="68"/>
  <c r="IC17" i="69"/>
  <c r="IG17" i="70"/>
  <c r="W17" i="67"/>
  <c r="HW19" i="82"/>
  <c r="IB20" i="84"/>
  <c r="HW20" i="87"/>
  <c r="FI20" i="87" s="1"/>
  <c r="FM20" i="87" s="1"/>
  <c r="IH18" i="89"/>
  <c r="FS17" i="90"/>
  <c r="FW17" i="90" s="1"/>
  <c r="IC17" i="90"/>
  <c r="IF20" i="90"/>
  <c r="FY19" i="91"/>
  <c r="IQ19" i="91" s="1"/>
  <c r="HS19" i="91"/>
  <c r="EY19" i="91" s="1"/>
  <c r="FC19" i="91" s="1"/>
  <c r="IF19" i="91"/>
  <c r="S20" i="82"/>
  <c r="W18" i="91"/>
  <c r="R20" i="77"/>
  <c r="W19" i="85"/>
  <c r="S19" i="69"/>
  <c r="S18" i="80"/>
  <c r="X17" i="90"/>
  <c r="IF19" i="89"/>
  <c r="IH19" i="89"/>
  <c r="GI19" i="89" s="1"/>
  <c r="IR19" i="89" s="1"/>
  <c r="IE19" i="89"/>
  <c r="GC19" i="89" s="1"/>
  <c r="IG19" i="89"/>
  <c r="IB19" i="89"/>
  <c r="ID19" i="89"/>
  <c r="FY19" i="89" s="1"/>
  <c r="IQ19" i="89" s="1"/>
  <c r="IA19" i="89"/>
  <c r="IC19" i="89"/>
  <c r="GI18" i="89"/>
  <c r="IR18" i="89" s="1"/>
  <c r="IE18" i="89"/>
  <c r="GC18" i="89" s="1"/>
  <c r="IG18" i="89"/>
  <c r="HV18" i="89"/>
  <c r="IC17" i="89"/>
  <c r="ID16" i="89"/>
  <c r="FY16" i="89" s="1"/>
  <c r="IQ16" i="89" s="1"/>
  <c r="HZ16" i="88"/>
  <c r="Q16" i="88"/>
  <c r="IH20" i="90"/>
  <c r="GI20" i="90" s="1"/>
  <c r="IR20" i="90" s="1"/>
  <c r="IE20" i="90"/>
  <c r="GC20" i="90" s="1"/>
  <c r="IB20" i="90"/>
  <c r="ID20" i="90"/>
  <c r="FY20" i="90" s="1"/>
  <c r="IQ20" i="90" s="1"/>
  <c r="IA20" i="90"/>
  <c r="FS20" i="90" s="1"/>
  <c r="IC20" i="90"/>
  <c r="HX20" i="90"/>
  <c r="FO20" i="90" s="1"/>
  <c r="IP20" i="90" s="1"/>
  <c r="HZ20" i="90"/>
  <c r="HW20" i="90"/>
  <c r="FI20" i="90" s="1"/>
  <c r="HY20" i="90"/>
  <c r="HS20" i="90"/>
  <c r="EY20" i="90" s="1"/>
  <c r="HU20" i="90"/>
  <c r="HT20" i="90"/>
  <c r="HV20" i="90"/>
  <c r="FE20" i="90" s="1"/>
  <c r="IO20" i="90" s="1"/>
  <c r="II20" i="90"/>
  <c r="HP20" i="90"/>
  <c r="HR20" i="90"/>
  <c r="EU20" i="90" s="1"/>
  <c r="IN20" i="90" s="1"/>
  <c r="IF19" i="90"/>
  <c r="IH19" i="90"/>
  <c r="GI19" i="90" s="1"/>
  <c r="IR19" i="90" s="1"/>
  <c r="HP19" i="90"/>
  <c r="HR19" i="90"/>
  <c r="EU19" i="90" s="1"/>
  <c r="IN19" i="90" s="1"/>
  <c r="HT18" i="90"/>
  <c r="IB17" i="90"/>
  <c r="ID17" i="90"/>
  <c r="FY17" i="90" s="1"/>
  <c r="IQ17" i="90" s="1"/>
  <c r="IE19" i="91"/>
  <c r="GC19" i="91" s="1"/>
  <c r="IG19" i="91"/>
  <c r="IA19" i="91"/>
  <c r="FS19" i="91" s="1"/>
  <c r="HX19" i="91"/>
  <c r="HZ19" i="91"/>
  <c r="FO19" i="91" s="1"/>
  <c r="IP19" i="91" s="1"/>
  <c r="HW19" i="91"/>
  <c r="HY19" i="91"/>
  <c r="HT19" i="91"/>
  <c r="HV19" i="91"/>
  <c r="HP19" i="91"/>
  <c r="EU19" i="91" s="1"/>
  <c r="IN19" i="91" s="1"/>
  <c r="HU18" i="92"/>
  <c r="HQ18" i="92"/>
  <c r="HT16" i="92"/>
  <c r="HS20" i="83"/>
  <c r="HU20" i="83"/>
  <c r="IF19" i="83"/>
  <c r="GI19" i="83" s="1"/>
  <c r="IR19" i="83" s="1"/>
  <c r="IH19" i="83"/>
  <c r="IE19" i="83"/>
  <c r="GC19" i="83" s="1"/>
  <c r="IG19" i="83"/>
  <c r="HX20" i="87"/>
  <c r="HZ20" i="87"/>
  <c r="FO20" i="87" s="1"/>
  <c r="IP20" i="87" s="1"/>
  <c r="HT20" i="87"/>
  <c r="HV20" i="87"/>
  <c r="FE20" i="87" s="1"/>
  <c r="IO20" i="87" s="1"/>
  <c r="HS20" i="87"/>
  <c r="EY20" i="87" s="1"/>
  <c r="HP20" i="87"/>
  <c r="HR20" i="87"/>
  <c r="EU20" i="87" s="1"/>
  <c r="IN20" i="87" s="1"/>
  <c r="HO20" i="87"/>
  <c r="EO20" i="87" s="1"/>
  <c r="HQ20" i="87"/>
  <c r="HO19" i="87"/>
  <c r="EO19" i="87" s="1"/>
  <c r="HQ19" i="87"/>
  <c r="HW19" i="87"/>
  <c r="FI19" i="87" s="1"/>
  <c r="HY19" i="87"/>
  <c r="HX19" i="87"/>
  <c r="HZ19" i="87"/>
  <c r="HT19" i="87"/>
  <c r="HV19" i="87"/>
  <c r="FE19" i="87" s="1"/>
  <c r="IO19" i="87" s="1"/>
  <c r="HS19" i="87"/>
  <c r="EY19" i="87" s="1"/>
  <c r="HU19" i="87"/>
  <c r="HP19" i="87"/>
  <c r="EU19" i="87" s="1"/>
  <c r="IN19" i="87" s="1"/>
  <c r="IA17" i="86"/>
  <c r="FS17" i="86" s="1"/>
  <c r="IA20" i="84"/>
  <c r="FS20" i="84" s="1"/>
  <c r="IC20" i="84"/>
  <c r="HX20" i="84"/>
  <c r="HZ20" i="84"/>
  <c r="FO20" i="84" s="1"/>
  <c r="IP20" i="84" s="1"/>
  <c r="HW20" i="84"/>
  <c r="FI20" i="84" s="1"/>
  <c r="HT20" i="84"/>
  <c r="HV20" i="84"/>
  <c r="FE20" i="84" s="1"/>
  <c r="IO20" i="84" s="1"/>
  <c r="HS20" i="84"/>
  <c r="EY20" i="84" s="1"/>
  <c r="HU20" i="84"/>
  <c r="HP20" i="84"/>
  <c r="HR20" i="84"/>
  <c r="EU20" i="84" s="1"/>
  <c r="IN20" i="84" s="1"/>
  <c r="HO20" i="84"/>
  <c r="EO20" i="84" s="1"/>
  <c r="HQ20" i="84"/>
  <c r="IA19" i="84"/>
  <c r="IC19" i="84"/>
  <c r="HU19" i="84"/>
  <c r="GC18" i="84"/>
  <c r="IM18" i="84" s="1"/>
  <c r="IE18" i="84"/>
  <c r="HX20" i="82"/>
  <c r="HZ20" i="82"/>
  <c r="FO20" i="82" s="1"/>
  <c r="IP20" i="82" s="1"/>
  <c r="FI20" i="82"/>
  <c r="HW20" i="82"/>
  <c r="HY20" i="82"/>
  <c r="HT20" i="82"/>
  <c r="HV20" i="82"/>
  <c r="FE20" i="82" s="1"/>
  <c r="IO20" i="82" s="1"/>
  <c r="HS20" i="82"/>
  <c r="EY20" i="82" s="1"/>
  <c r="II20" i="82"/>
  <c r="T20" i="82"/>
  <c r="HP20" i="82"/>
  <c r="HR20" i="82"/>
  <c r="EU20" i="82" s="1"/>
  <c r="IN20" i="82" s="1"/>
  <c r="HX19" i="82"/>
  <c r="HZ19" i="82"/>
  <c r="HS19" i="82"/>
  <c r="HU19" i="82"/>
  <c r="HT19" i="82"/>
  <c r="HV19" i="82"/>
  <c r="FE19" i="82" s="1"/>
  <c r="IO19" i="82" s="1"/>
  <c r="HP19" i="82"/>
  <c r="HR19" i="82"/>
  <c r="EU19" i="82" s="1"/>
  <c r="IN19" i="82" s="1"/>
  <c r="HO19" i="82"/>
  <c r="EO19" i="82" s="1"/>
  <c r="HZ17" i="82"/>
  <c r="HO18" i="81"/>
  <c r="EO18" i="81" s="1"/>
  <c r="ES18" i="81" s="1"/>
  <c r="IF17" i="81"/>
  <c r="IF16" i="81"/>
  <c r="IH16" i="81"/>
  <c r="GI16" i="81" s="1"/>
  <c r="IR16" i="81" s="1"/>
  <c r="IE16" i="81"/>
  <c r="GC16" i="81" s="1"/>
  <c r="IA16" i="81"/>
  <c r="FS16" i="81" s="1"/>
  <c r="IL16" i="81" s="1"/>
  <c r="IC16" i="81"/>
  <c r="IB16" i="81"/>
  <c r="IF16" i="80"/>
  <c r="IH16" i="80"/>
  <c r="GI16" i="80" s="1"/>
  <c r="IR16" i="80" s="1"/>
  <c r="IE16" i="80"/>
  <c r="GC16" i="80" s="1"/>
  <c r="ID19" i="79"/>
  <c r="FY19" i="79" s="1"/>
  <c r="IQ19" i="79" s="1"/>
  <c r="HW18" i="78"/>
  <c r="HR17" i="78"/>
  <c r="EU17" i="78" s="1"/>
  <c r="IN17" i="78" s="1"/>
  <c r="IB16" i="78"/>
  <c r="IA18" i="75"/>
  <c r="FS18" i="75" s="1"/>
  <c r="IC18" i="75"/>
  <c r="IL20" i="74"/>
  <c r="W20" i="74"/>
  <c r="IB20" i="74"/>
  <c r="ID20" i="74"/>
  <c r="FY20" i="74" s="1"/>
  <c r="IQ20" i="74" s="1"/>
  <c r="IB19" i="74"/>
  <c r="ID19" i="74"/>
  <c r="FY19" i="74" s="1"/>
  <c r="IQ19" i="74" s="1"/>
  <c r="IA19" i="74"/>
  <c r="FS19" i="74" s="1"/>
  <c r="HX19" i="71"/>
  <c r="HZ19" i="71"/>
  <c r="FO19" i="71" s="1"/>
  <c r="IP19" i="71" s="1"/>
  <c r="HT19" i="71"/>
  <c r="HV19" i="71"/>
  <c r="FE19" i="71" s="1"/>
  <c r="IO19" i="71" s="1"/>
  <c r="HS17" i="71"/>
  <c r="EY17" i="71" s="1"/>
  <c r="IA18" i="77"/>
  <c r="FS18" i="77" s="1"/>
  <c r="HU18" i="77"/>
  <c r="IB20" i="76"/>
  <c r="ID20" i="76"/>
  <c r="FY20" i="76" s="1"/>
  <c r="IQ20" i="76" s="1"/>
  <c r="IA20" i="76"/>
  <c r="FS20" i="76" s="1"/>
  <c r="IC20" i="76"/>
  <c r="HT20" i="76"/>
  <c r="HP20" i="76"/>
  <c r="R17" i="76"/>
  <c r="ID17" i="76"/>
  <c r="HX17" i="76"/>
  <c r="HW20" i="72"/>
  <c r="FI20" i="72" s="1"/>
  <c r="HO20" i="72"/>
  <c r="HQ20" i="72"/>
  <c r="HX19" i="72"/>
  <c r="HZ19" i="72"/>
  <c r="FO19" i="72" s="1"/>
  <c r="IP19" i="72" s="1"/>
  <c r="HT19" i="72"/>
  <c r="HV19" i="72"/>
  <c r="FE19" i="72" s="1"/>
  <c r="IO19" i="72" s="1"/>
  <c r="ID18" i="72"/>
  <c r="FY18" i="72" s="1"/>
  <c r="IQ18" i="72" s="1"/>
  <c r="IF16" i="72"/>
  <c r="IH16" i="72"/>
  <c r="GI16" i="72" s="1"/>
  <c r="IR16" i="72" s="1"/>
  <c r="IE16" i="72"/>
  <c r="GC16" i="72" s="1"/>
  <c r="ID16" i="72"/>
  <c r="FY16" i="72" s="1"/>
  <c r="IQ16" i="72" s="1"/>
  <c r="IB16" i="72"/>
  <c r="HS20" i="70"/>
  <c r="EY20" i="70" s="1"/>
  <c r="HU20" i="70"/>
  <c r="HX20" i="70"/>
  <c r="HZ20" i="70"/>
  <c r="FO20" i="70" s="1"/>
  <c r="IP20" i="70" s="1"/>
  <c r="HW20" i="70"/>
  <c r="FI20" i="70" s="1"/>
  <c r="HY20" i="70"/>
  <c r="HT20" i="70"/>
  <c r="HV20" i="70"/>
  <c r="FE20" i="70" s="1"/>
  <c r="IO20" i="70" s="1"/>
  <c r="HP20" i="70"/>
  <c r="HR20" i="70"/>
  <c r="T20" i="70"/>
  <c r="HO20" i="70"/>
  <c r="HQ20" i="70"/>
  <c r="EO20" i="70" s="1"/>
  <c r="HV19" i="70"/>
  <c r="HT19" i="70"/>
  <c r="IA18" i="70"/>
  <c r="FS18" i="70" s="1"/>
  <c r="IC18" i="70"/>
  <c r="IF17" i="70"/>
  <c r="IH17" i="70"/>
  <c r="IA17" i="70"/>
  <c r="FS17" i="70" s="1"/>
  <c r="IC17" i="70"/>
  <c r="IB17" i="70"/>
  <c r="ID17" i="70"/>
  <c r="IA19" i="69"/>
  <c r="FS19" i="69" s="1"/>
  <c r="IC19" i="69"/>
  <c r="IB19" i="69"/>
  <c r="ID19" i="69"/>
  <c r="FY19" i="69" s="1"/>
  <c r="IQ19" i="69" s="1"/>
  <c r="IF18" i="69"/>
  <c r="IH18" i="69"/>
  <c r="GI18" i="69" s="1"/>
  <c r="IR18" i="69" s="1"/>
  <c r="IE18" i="69"/>
  <c r="GC18" i="69" s="1"/>
  <c r="IG18" i="69"/>
  <c r="IA18" i="69"/>
  <c r="FS18" i="69" s="1"/>
  <c r="IC18" i="69"/>
  <c r="IB18" i="69"/>
  <c r="ID18" i="69"/>
  <c r="FY18" i="69" s="1"/>
  <c r="IQ18" i="69" s="1"/>
  <c r="IB17" i="69"/>
  <c r="ID17" i="69"/>
  <c r="IB16" i="69"/>
  <c r="ID16" i="69"/>
  <c r="FY16" i="69" s="1"/>
  <c r="IQ16" i="69" s="1"/>
  <c r="IA16" i="69"/>
  <c r="FS16" i="69" s="1"/>
  <c r="IC16" i="69"/>
  <c r="HY19" i="68"/>
  <c r="HR19" i="68"/>
  <c r="EU19" i="68" s="1"/>
  <c r="IN19" i="68" s="1"/>
  <c r="IA17" i="68"/>
  <c r="FS17" i="68" s="1"/>
  <c r="IC17" i="68"/>
  <c r="IB17" i="68"/>
  <c r="ID17" i="68"/>
  <c r="FY17" i="68" s="1"/>
  <c r="IQ17" i="68" s="1"/>
  <c r="Q16" i="67"/>
  <c r="P16" i="67"/>
  <c r="O19" i="75"/>
  <c r="S20" i="87"/>
  <c r="X19" i="88"/>
  <c r="Q20" i="88"/>
  <c r="X18" i="90"/>
  <c r="O20" i="91"/>
  <c r="S17" i="67"/>
  <c r="R19" i="68"/>
  <c r="R17" i="71"/>
  <c r="V20" i="72"/>
  <c r="T20" i="67"/>
  <c r="X19" i="78"/>
  <c r="V20" i="78"/>
  <c r="R17" i="79"/>
  <c r="R16" i="81"/>
  <c r="V20" i="86"/>
  <c r="V19" i="87"/>
  <c r="R20" i="91"/>
  <c r="S17" i="92"/>
  <c r="S20" i="92"/>
  <c r="IB19" i="90"/>
  <c r="ID19" i="90"/>
  <c r="IA19" i="90"/>
  <c r="FS19" i="90" s="1"/>
  <c r="IC19" i="90"/>
  <c r="HX19" i="90"/>
  <c r="HZ19" i="90"/>
  <c r="FO19" i="90" s="1"/>
  <c r="IP19" i="90" s="1"/>
  <c r="Q19" i="90"/>
  <c r="HW19" i="90"/>
  <c r="HY19" i="90"/>
  <c r="HT19" i="90"/>
  <c r="HV19" i="90"/>
  <c r="FE19" i="90" s="1"/>
  <c r="IO19" i="90" s="1"/>
  <c r="HS19" i="90"/>
  <c r="HU19" i="90"/>
  <c r="HO19" i="90"/>
  <c r="EO19" i="90" s="1"/>
  <c r="HQ19" i="90"/>
  <c r="IB18" i="90"/>
  <c r="ID18" i="90"/>
  <c r="FY18" i="90" s="1"/>
  <c r="IQ18" i="90" s="1"/>
  <c r="IA18" i="90"/>
  <c r="FS18" i="90" s="1"/>
  <c r="IC18" i="90"/>
  <c r="HR18" i="90"/>
  <c r="EU18" i="90" s="1"/>
  <c r="IN18" i="90" s="1"/>
  <c r="HX17" i="90"/>
  <c r="GC16" i="90"/>
  <c r="IE16" i="90"/>
  <c r="IG16" i="90"/>
  <c r="GI16" i="90"/>
  <c r="IR16" i="90" s="1"/>
  <c r="IF16" i="90"/>
  <c r="IA16" i="90"/>
  <c r="FS16" i="90" s="1"/>
  <c r="IC16" i="90"/>
  <c r="HW16" i="90"/>
  <c r="HY16" i="90"/>
  <c r="HS16" i="90"/>
  <c r="HQ16" i="90"/>
  <c r="HO16" i="90"/>
  <c r="IB19" i="92"/>
  <c r="ID19" i="92"/>
  <c r="FY19" i="92" s="1"/>
  <c r="IQ19" i="92" s="1"/>
  <c r="HW19" i="92"/>
  <c r="HY19" i="92"/>
  <c r="FI19" i="92"/>
  <c r="HX19" i="92"/>
  <c r="HZ19" i="92"/>
  <c r="FO19" i="92" s="1"/>
  <c r="IP19" i="92" s="1"/>
  <c r="U19" i="92"/>
  <c r="Z19" i="92" s="1"/>
  <c r="GT19" i="92" s="1"/>
  <c r="HS19" i="92"/>
  <c r="EY19" i="92" s="1"/>
  <c r="HU19" i="92"/>
  <c r="HT19" i="92"/>
  <c r="HV19" i="92"/>
  <c r="FE19" i="92" s="1"/>
  <c r="IO19" i="92" s="1"/>
  <c r="HP19" i="92"/>
  <c r="HR19" i="92"/>
  <c r="EU19" i="92" s="1"/>
  <c r="IN19" i="92" s="1"/>
  <c r="HO19" i="92"/>
  <c r="HQ19" i="92"/>
  <c r="HO18" i="92"/>
  <c r="EO18" i="92" s="1"/>
  <c r="II18" i="92" s="1"/>
  <c r="HZ17" i="92"/>
  <c r="FO17" i="92" s="1"/>
  <c r="IP17" i="92" s="1"/>
  <c r="HT17" i="92"/>
  <c r="HV17" i="92"/>
  <c r="FE17" i="92" s="1"/>
  <c r="IO17" i="92" s="1"/>
  <c r="HS16" i="92"/>
  <c r="R17" i="91"/>
  <c r="IA17" i="91"/>
  <c r="FS17" i="91" s="1"/>
  <c r="IC17" i="91"/>
  <c r="W17" i="91"/>
  <c r="FY17" i="91"/>
  <c r="IQ17" i="91" s="1"/>
  <c r="IB17" i="91"/>
  <c r="HR17" i="91"/>
  <c r="EU17" i="91" s="1"/>
  <c r="IN17" i="91" s="1"/>
  <c r="HZ16" i="91"/>
  <c r="HY16" i="91"/>
  <c r="HT19" i="89"/>
  <c r="HW18" i="89"/>
  <c r="FI18" i="89" s="1"/>
  <c r="HU18" i="89"/>
  <c r="HR17" i="89"/>
  <c r="IE16" i="89"/>
  <c r="IG16" i="89"/>
  <c r="GC16" i="89" s="1"/>
  <c r="IF16" i="89"/>
  <c r="IH16" i="89"/>
  <c r="GI16" i="89" s="1"/>
  <c r="IR16" i="89" s="1"/>
  <c r="IA16" i="89"/>
  <c r="FS16" i="89" s="1"/>
  <c r="IC16" i="89"/>
  <c r="HT16" i="89"/>
  <c r="HV16" i="89"/>
  <c r="FE16" i="89" s="1"/>
  <c r="IO16" i="89" s="1"/>
  <c r="HY19" i="88"/>
  <c r="HT19" i="88"/>
  <c r="HW16" i="88"/>
  <c r="FI16" i="88" s="1"/>
  <c r="IF17" i="87"/>
  <c r="IH17" i="87"/>
  <c r="GI17" i="87" s="1"/>
  <c r="IR17" i="87" s="1"/>
  <c r="IE17" i="87"/>
  <c r="GC17" i="87" s="1"/>
  <c r="HT17" i="87"/>
  <c r="HX19" i="86"/>
  <c r="HZ19" i="86"/>
  <c r="FO19" i="86" s="1"/>
  <c r="IP19" i="86" s="1"/>
  <c r="HW19" i="86"/>
  <c r="FI19" i="86" s="1"/>
  <c r="HT19" i="86"/>
  <c r="HV19" i="86"/>
  <c r="FE19" i="86" s="1"/>
  <c r="IO19" i="86" s="1"/>
  <c r="EY19" i="86"/>
  <c r="HS19" i="86"/>
  <c r="HU19" i="86"/>
  <c r="HP19" i="86"/>
  <c r="HR19" i="86"/>
  <c r="EU19" i="86" s="1"/>
  <c r="IN19" i="86" s="1"/>
  <c r="HO19" i="86"/>
  <c r="EO19" i="86" s="1"/>
  <c r="HQ19" i="86"/>
  <c r="IA18" i="86"/>
  <c r="IE17" i="86"/>
  <c r="IG17" i="86"/>
  <c r="GC17" i="86"/>
  <c r="IF17" i="86"/>
  <c r="IH17" i="86"/>
  <c r="GI17" i="86" s="1"/>
  <c r="IR17" i="86" s="1"/>
  <c r="IB17" i="86"/>
  <c r="ID17" i="86"/>
  <c r="FY17" i="86" s="1"/>
  <c r="IQ17" i="86" s="1"/>
  <c r="V17" i="86"/>
  <c r="HS19" i="85"/>
  <c r="EY19" i="85" s="1"/>
  <c r="IJ19" i="85" s="1"/>
  <c r="HU19" i="85"/>
  <c r="HQ19" i="85"/>
  <c r="HO19" i="85"/>
  <c r="EO19" i="85" s="1"/>
  <c r="HR19" i="85"/>
  <c r="EU19" i="85" s="1"/>
  <c r="IN19" i="85" s="1"/>
  <c r="IA16" i="85"/>
  <c r="HS16" i="85"/>
  <c r="EY16" i="85" s="1"/>
  <c r="FC16" i="85" s="1"/>
  <c r="FS19" i="84"/>
  <c r="IB19" i="84"/>
  <c r="ID19" i="84"/>
  <c r="FY19" i="84" s="1"/>
  <c r="IQ19" i="84" s="1"/>
  <c r="HS19" i="84"/>
  <c r="EY19" i="84" s="1"/>
  <c r="T19" i="84"/>
  <c r="HO19" i="84"/>
  <c r="HZ18" i="84"/>
  <c r="HS18" i="84"/>
  <c r="HZ16" i="84"/>
  <c r="FO16" i="84" s="1"/>
  <c r="IP16" i="84" s="1"/>
  <c r="IA19" i="83"/>
  <c r="FS19" i="83" s="1"/>
  <c r="HY19" i="83"/>
  <c r="HO19" i="83"/>
  <c r="EO19" i="83"/>
  <c r="ES19" i="83" s="1"/>
  <c r="HP19" i="83"/>
  <c r="HT18" i="83"/>
  <c r="IF18" i="82"/>
  <c r="IH18" i="82"/>
  <c r="GI18" i="82" s="1"/>
  <c r="IR18" i="82" s="1"/>
  <c r="HR18" i="82"/>
  <c r="GI17" i="82"/>
  <c r="IR17" i="82" s="1"/>
  <c r="IF17" i="82"/>
  <c r="FS17" i="82"/>
  <c r="FW17" i="82" s="1"/>
  <c r="IA17" i="82"/>
  <c r="HY17" i="82"/>
  <c r="FY20" i="81"/>
  <c r="IQ20" i="81" s="1"/>
  <c r="IB20" i="81"/>
  <c r="IL20" i="81"/>
  <c r="HX20" i="81"/>
  <c r="HZ20" i="81"/>
  <c r="FO20" i="81" s="1"/>
  <c r="IP20" i="81" s="1"/>
  <c r="HW20" i="81"/>
  <c r="FI20" i="81" s="1"/>
  <c r="HY20" i="81"/>
  <c r="FC20" i="81"/>
  <c r="IJ20" i="81"/>
  <c r="FE20" i="81"/>
  <c r="IO20" i="81" s="1"/>
  <c r="HT20" i="81"/>
  <c r="HP20" i="81"/>
  <c r="HR20" i="81"/>
  <c r="EU20" i="81" s="1"/>
  <c r="IN20" i="81" s="1"/>
  <c r="HW19" i="81"/>
  <c r="FI19" i="81" s="1"/>
  <c r="HY19" i="81"/>
  <c r="HX19" i="81"/>
  <c r="HZ19" i="81"/>
  <c r="HT19" i="81"/>
  <c r="HV19" i="81"/>
  <c r="FE19" i="81" s="1"/>
  <c r="IO19" i="81" s="1"/>
  <c r="HO19" i="81"/>
  <c r="EO19" i="81" s="1"/>
  <c r="IF18" i="81"/>
  <c r="IB18" i="81"/>
  <c r="HT17" i="81"/>
  <c r="HW16" i="81"/>
  <c r="FI16" i="81" s="1"/>
  <c r="IA19" i="80"/>
  <c r="IC19" i="80"/>
  <c r="FS19" i="80"/>
  <c r="IB19" i="80"/>
  <c r="ID19" i="80"/>
  <c r="FY19" i="80" s="1"/>
  <c r="IQ19" i="80" s="1"/>
  <c r="HW19" i="80"/>
  <c r="HY19" i="80"/>
  <c r="FE19" i="80"/>
  <c r="IO19" i="80" s="1"/>
  <c r="HS19" i="80"/>
  <c r="HU19" i="80"/>
  <c r="EY19" i="80"/>
  <c r="HT19" i="80"/>
  <c r="HO19" i="80"/>
  <c r="HQ19" i="80"/>
  <c r="EU19" i="80"/>
  <c r="IN19" i="80" s="1"/>
  <c r="HP19" i="80"/>
  <c r="HU18" i="80"/>
  <c r="HQ18" i="80"/>
  <c r="HU17" i="80"/>
  <c r="ID16" i="80"/>
  <c r="FY16" i="80" s="1"/>
  <c r="IQ16" i="80" s="1"/>
  <c r="HQ16" i="80"/>
  <c r="HP16" i="80"/>
  <c r="HY19" i="79"/>
  <c r="HS19" i="79"/>
  <c r="EY19" i="79" s="1"/>
  <c r="HV19" i="79"/>
  <c r="FE19" i="79" s="1"/>
  <c r="IO19" i="79" s="1"/>
  <c r="HX19" i="78"/>
  <c r="HZ19" i="78"/>
  <c r="HS19" i="78"/>
  <c r="O19" i="78"/>
  <c r="HR19" i="78"/>
  <c r="HO19" i="78"/>
  <c r="EO19" i="78" s="1"/>
  <c r="ES19" i="78" s="1"/>
  <c r="HZ18" i="78"/>
  <c r="HZ17" i="78"/>
  <c r="HV17" i="78"/>
  <c r="FE17" i="78" s="1"/>
  <c r="IO17" i="78" s="1"/>
  <c r="FY16" i="78"/>
  <c r="IQ16" i="78" s="1"/>
  <c r="HX16" i="78"/>
  <c r="FO19" i="75"/>
  <c r="IP19" i="75" s="1"/>
  <c r="HW19" i="75"/>
  <c r="FI19" i="75" s="1"/>
  <c r="HY19" i="75"/>
  <c r="HS19" i="75"/>
  <c r="EY19" i="75" s="1"/>
  <c r="HU19" i="75"/>
  <c r="HT19" i="75"/>
  <c r="HV19" i="75"/>
  <c r="FE19" i="75" s="1"/>
  <c r="IO19" i="75" s="1"/>
  <c r="T19" i="75"/>
  <c r="HO19" i="75"/>
  <c r="EO19" i="75" s="1"/>
  <c r="IB18" i="75"/>
  <c r="IB17" i="75"/>
  <c r="ID17" i="75"/>
  <c r="FY17" i="75" s="1"/>
  <c r="IQ17" i="75" s="1"/>
  <c r="IA17" i="75"/>
  <c r="FS17" i="75" s="1"/>
  <c r="HR17" i="75"/>
  <c r="EU17" i="75" s="1"/>
  <c r="IN17" i="75" s="1"/>
  <c r="HQ17" i="75"/>
  <c r="EO17" i="75" s="1"/>
  <c r="HX20" i="74"/>
  <c r="HZ20" i="74"/>
  <c r="FO20" i="74" s="1"/>
  <c r="IP20" i="74" s="1"/>
  <c r="HW20" i="74"/>
  <c r="FI20" i="74" s="1"/>
  <c r="HY20" i="74"/>
  <c r="FE20" i="74"/>
  <c r="IO20" i="74" s="1"/>
  <c r="HS20" i="74"/>
  <c r="HU20" i="74"/>
  <c r="EY20" i="74"/>
  <c r="HT20" i="74"/>
  <c r="HP20" i="74"/>
  <c r="HR20" i="74"/>
  <c r="EU20" i="74" s="1"/>
  <c r="IN20" i="74" s="1"/>
  <c r="HO20" i="74"/>
  <c r="EO20" i="74" s="1"/>
  <c r="HW19" i="74"/>
  <c r="FI19" i="74" s="1"/>
  <c r="HY19" i="74"/>
  <c r="HV19" i="74"/>
  <c r="FE19" i="74" s="1"/>
  <c r="IO19" i="74" s="1"/>
  <c r="HS19" i="74"/>
  <c r="EY19" i="74" s="1"/>
  <c r="HU19" i="74"/>
  <c r="IF18" i="74"/>
  <c r="GI18" i="74"/>
  <c r="IR18" i="74" s="1"/>
  <c r="IH18" i="74"/>
  <c r="IB18" i="74"/>
  <c r="FI17" i="74"/>
  <c r="FM17" i="74" s="1"/>
  <c r="HX17" i="74"/>
  <c r="HT17" i="74"/>
  <c r="HP17" i="74"/>
  <c r="IE16" i="74"/>
  <c r="GC16" i="74" s="1"/>
  <c r="IG16" i="74"/>
  <c r="GI16" i="74"/>
  <c r="IR16" i="74" s="1"/>
  <c r="IF16" i="74"/>
  <c r="IB16" i="74"/>
  <c r="ID16" i="74"/>
  <c r="FY16" i="74" s="1"/>
  <c r="IQ16" i="74" s="1"/>
  <c r="FO20" i="71"/>
  <c r="IP20" i="71" s="1"/>
  <c r="HX20" i="71"/>
  <c r="HS20" i="71"/>
  <c r="EY20" i="71" s="1"/>
  <c r="HU20" i="71"/>
  <c r="HT20" i="71"/>
  <c r="HV20" i="71"/>
  <c r="FE20" i="71" s="1"/>
  <c r="IO20" i="71" s="1"/>
  <c r="HP20" i="71"/>
  <c r="HR20" i="71"/>
  <c r="EU20" i="71" s="1"/>
  <c r="IN20" i="71" s="1"/>
  <c r="HO20" i="71"/>
  <c r="EO20" i="71" s="1"/>
  <c r="HQ20" i="71"/>
  <c r="GC19" i="71"/>
  <c r="IE19" i="71"/>
  <c r="FS19" i="71"/>
  <c r="IA19" i="71"/>
  <c r="IC19" i="71"/>
  <c r="HW19" i="71"/>
  <c r="FI19" i="71" s="1"/>
  <c r="HS19" i="71"/>
  <c r="EY19" i="71" s="1"/>
  <c r="HO19" i="71"/>
  <c r="EO19" i="71" s="1"/>
  <c r="HQ19" i="71"/>
  <c r="HP19" i="71"/>
  <c r="EU19" i="71" s="1"/>
  <c r="IN19" i="71" s="1"/>
  <c r="HO18" i="77"/>
  <c r="EO18" i="77" s="1"/>
  <c r="II18" i="77" s="1"/>
  <c r="HT17" i="77"/>
  <c r="HP17" i="77"/>
  <c r="HR16" i="77"/>
  <c r="HZ19" i="76"/>
  <c r="HT19" i="76"/>
  <c r="HU18" i="76"/>
  <c r="HW17" i="76"/>
  <c r="FI17" i="76" s="1"/>
  <c r="IK17" i="76" s="1"/>
  <c r="HS17" i="76"/>
  <c r="HT17" i="76"/>
  <c r="HZ16" i="76"/>
  <c r="FO16" i="76" s="1"/>
  <c r="IP16" i="76" s="1"/>
  <c r="HT16" i="76"/>
  <c r="HS16" i="76"/>
  <c r="EY16" i="76" s="1"/>
  <c r="HU16" i="76"/>
  <c r="IE20" i="72"/>
  <c r="GC20" i="72" s="1"/>
  <c r="IG20" i="72"/>
  <c r="IB20" i="72"/>
  <c r="ID20" i="72"/>
  <c r="FY20" i="72" s="1"/>
  <c r="IQ20" i="72" s="1"/>
  <c r="IA20" i="72"/>
  <c r="FS20" i="72" s="1"/>
  <c r="HX20" i="72"/>
  <c r="HZ20" i="72"/>
  <c r="FO20" i="72" s="1"/>
  <c r="IP20" i="72" s="1"/>
  <c r="HT20" i="72"/>
  <c r="HV20" i="72"/>
  <c r="FE20" i="72" s="1"/>
  <c r="IO20" i="72" s="1"/>
  <c r="HS20" i="72"/>
  <c r="EY20" i="72" s="1"/>
  <c r="HU20" i="72"/>
  <c r="EO20" i="72"/>
  <c r="HP20" i="72"/>
  <c r="HR20" i="72"/>
  <c r="EU20" i="72" s="1"/>
  <c r="IN20" i="72" s="1"/>
  <c r="FS19" i="72"/>
  <c r="IA19" i="72"/>
  <c r="IC19" i="72"/>
  <c r="FY19" i="72"/>
  <c r="IQ19" i="72" s="1"/>
  <c r="IB19" i="72"/>
  <c r="HW19" i="72"/>
  <c r="FI19" i="72" s="1"/>
  <c r="HS19" i="72"/>
  <c r="EY19" i="72" s="1"/>
  <c r="HU19" i="72"/>
  <c r="HO19" i="72"/>
  <c r="EO19" i="72" s="1"/>
  <c r="HQ19" i="72"/>
  <c r="EU19" i="72"/>
  <c r="IN19" i="72" s="1"/>
  <c r="HP19" i="72"/>
  <c r="IA18" i="72"/>
  <c r="IC18" i="72"/>
  <c r="HU18" i="72"/>
  <c r="IF17" i="72"/>
  <c r="IH17" i="72"/>
  <c r="GI17" i="72" s="1"/>
  <c r="IR17" i="72" s="1"/>
  <c r="IE17" i="72"/>
  <c r="GC17" i="72" s="1"/>
  <c r="R17" i="72"/>
  <c r="IB17" i="72"/>
  <c r="ID17" i="72"/>
  <c r="FY17" i="72" s="1"/>
  <c r="IQ17" i="72" s="1"/>
  <c r="IA17" i="72"/>
  <c r="FS17" i="72" s="1"/>
  <c r="IC17" i="72"/>
  <c r="IA16" i="72"/>
  <c r="FS16" i="72" s="1"/>
  <c r="IC16" i="72"/>
  <c r="IE19" i="70"/>
  <c r="GC19" i="70" s="1"/>
  <c r="IG19" i="70"/>
  <c r="IF19" i="70"/>
  <c r="IH19" i="70"/>
  <c r="GI19" i="70" s="1"/>
  <c r="IR19" i="70" s="1"/>
  <c r="IB19" i="70"/>
  <c r="IA19" i="70"/>
  <c r="FS19" i="70" s="1"/>
  <c r="IC19" i="70"/>
  <c r="ID19" i="70"/>
  <c r="FY19" i="70" s="1"/>
  <c r="IQ19" i="70" s="1"/>
  <c r="HW19" i="70"/>
  <c r="HY19" i="70"/>
  <c r="HX19" i="70"/>
  <c r="HZ19" i="70"/>
  <c r="HS19" i="70"/>
  <c r="EY19" i="70" s="1"/>
  <c r="HU19" i="70"/>
  <c r="HO19" i="70"/>
  <c r="HQ19" i="70"/>
  <c r="HP19" i="70"/>
  <c r="HR19" i="70"/>
  <c r="EU19" i="70" s="1"/>
  <c r="IN19" i="70" s="1"/>
  <c r="W16" i="70"/>
  <c r="IB16" i="70"/>
  <c r="ID16" i="70"/>
  <c r="FY16" i="70" s="1"/>
  <c r="IQ16" i="70" s="1"/>
  <c r="HW19" i="69"/>
  <c r="FI19" i="69" s="1"/>
  <c r="HY19" i="69"/>
  <c r="HX19" i="69"/>
  <c r="HZ19" i="69"/>
  <c r="FO19" i="69" s="1"/>
  <c r="IP19" i="69" s="1"/>
  <c r="HT19" i="69"/>
  <c r="HV19" i="69"/>
  <c r="FE19" i="69" s="1"/>
  <c r="IO19" i="69" s="1"/>
  <c r="HS19" i="69"/>
  <c r="EY19" i="69" s="1"/>
  <c r="HU19" i="69"/>
  <c r="HP19" i="69"/>
  <c r="HR19" i="69"/>
  <c r="EU19" i="69" s="1"/>
  <c r="IN19" i="69" s="1"/>
  <c r="HO19" i="69"/>
  <c r="EO19" i="69" s="1"/>
  <c r="HQ19" i="69"/>
  <c r="HT18" i="69"/>
  <c r="HT17" i="69"/>
  <c r="HX19" i="68"/>
  <c r="HZ19" i="68"/>
  <c r="FO19" i="68" s="1"/>
  <c r="IP19" i="68" s="1"/>
  <c r="HT19" i="68"/>
  <c r="HS19" i="68"/>
  <c r="EY19" i="68" s="1"/>
  <c r="HU19" i="68"/>
  <c r="HV19" i="68"/>
  <c r="FE19" i="68" s="1"/>
  <c r="IO19" i="68" s="1"/>
  <c r="HO19" i="68"/>
  <c r="HQ19" i="68"/>
  <c r="HU17" i="68"/>
  <c r="HR17" i="68"/>
  <c r="HS16" i="68"/>
  <c r="HP16" i="68"/>
  <c r="V18" i="67"/>
  <c r="R16" i="67"/>
  <c r="T19" i="71"/>
  <c r="O19" i="71"/>
  <c r="X19" i="71"/>
  <c r="S19" i="71"/>
  <c r="IA19" i="76"/>
  <c r="FS19" i="76" s="1"/>
  <c r="W19" i="76"/>
  <c r="W20" i="78"/>
  <c r="R20" i="78"/>
  <c r="S20" i="85"/>
  <c r="X20" i="85"/>
  <c r="X17" i="87"/>
  <c r="S17" i="87"/>
  <c r="X17" i="89"/>
  <c r="S17" i="89"/>
  <c r="W16" i="91"/>
  <c r="R16" i="91"/>
  <c r="HW16" i="69"/>
  <c r="Q16" i="69"/>
  <c r="U20" i="69"/>
  <c r="U17" i="72"/>
  <c r="T19" i="72"/>
  <c r="O19" i="72"/>
  <c r="X19" i="72"/>
  <c r="S19" i="72"/>
  <c r="Q19" i="75"/>
  <c r="S18" i="77"/>
  <c r="T19" i="80"/>
  <c r="O19" i="80"/>
  <c r="W20" i="81"/>
  <c r="R20" i="81"/>
  <c r="U20" i="85"/>
  <c r="S16" i="89"/>
  <c r="T18" i="92"/>
  <c r="O18" i="92"/>
  <c r="X17" i="68"/>
  <c r="S16" i="70"/>
  <c r="U20" i="71"/>
  <c r="T20" i="80"/>
  <c r="O20" i="80"/>
  <c r="X18" i="68"/>
  <c r="U19" i="70"/>
  <c r="R19" i="67"/>
  <c r="W19" i="67"/>
  <c r="T20" i="74"/>
  <c r="O20" i="74"/>
  <c r="X20" i="74"/>
  <c r="S20" i="74"/>
  <c r="W20" i="76"/>
  <c r="X16" i="80"/>
  <c r="S16" i="80"/>
  <c r="X20" i="80"/>
  <c r="O19" i="81"/>
  <c r="T19" i="81"/>
  <c r="V20" i="81"/>
  <c r="T19" i="82"/>
  <c r="O19" i="82"/>
  <c r="S18" i="87"/>
  <c r="R20" i="87"/>
  <c r="X20" i="91"/>
  <c r="S20" i="91"/>
  <c r="V20" i="69"/>
  <c r="X20" i="67"/>
  <c r="U19" i="67"/>
  <c r="S17" i="74"/>
  <c r="X19" i="75"/>
  <c r="V19" i="80"/>
  <c r="V19" i="82"/>
  <c r="S17" i="84"/>
  <c r="S19" i="84"/>
  <c r="U20" i="84"/>
  <c r="U20" i="86"/>
  <c r="U19" i="87"/>
  <c r="O20" i="87"/>
  <c r="S18" i="89"/>
  <c r="X19" i="91"/>
  <c r="S19" i="92"/>
  <c r="O20" i="92"/>
  <c r="U17" i="69"/>
  <c r="O16" i="83"/>
  <c r="T17" i="68"/>
  <c r="T16" i="90"/>
  <c r="Q10" i="6"/>
  <c r="E57" i="84"/>
  <c r="HY19" i="89"/>
  <c r="HZ19" i="89"/>
  <c r="HW19" i="89"/>
  <c r="FO19" i="89"/>
  <c r="IP19" i="89" s="1"/>
  <c r="HX19" i="89"/>
  <c r="HS19" i="89"/>
  <c r="EY19" i="89" s="1"/>
  <c r="HU19" i="89"/>
  <c r="HV19" i="89"/>
  <c r="FE19" i="89" s="1"/>
  <c r="IO19" i="89" s="1"/>
  <c r="HQ19" i="89"/>
  <c r="HO19" i="89"/>
  <c r="EO19" i="89" s="1"/>
  <c r="O19" i="89"/>
  <c r="HP19" i="89"/>
  <c r="HR19" i="89"/>
  <c r="EU19" i="89" s="1"/>
  <c r="IN19" i="89" s="1"/>
  <c r="ID18" i="89"/>
  <c r="IC18" i="89"/>
  <c r="IA18" i="89"/>
  <c r="FS18" i="89" s="1"/>
  <c r="IB18" i="89"/>
  <c r="HX18" i="89"/>
  <c r="HZ18" i="89"/>
  <c r="HS18" i="89"/>
  <c r="EY18" i="89" s="1"/>
  <c r="HT18" i="89"/>
  <c r="HQ18" i="89"/>
  <c r="HR18" i="89"/>
  <c r="HO18" i="89"/>
  <c r="EO18" i="89" s="1"/>
  <c r="HP18" i="89"/>
  <c r="IA17" i="89"/>
  <c r="FS17" i="89" s="1"/>
  <c r="IB17" i="89"/>
  <c r="HW17" i="89"/>
  <c r="FI17" i="89" s="1"/>
  <c r="HX17" i="89"/>
  <c r="HY17" i="89"/>
  <c r="HZ17" i="89"/>
  <c r="FO17" i="89" s="1"/>
  <c r="IP17" i="89" s="1"/>
  <c r="HU17" i="89"/>
  <c r="HV17" i="89"/>
  <c r="FE17" i="89" s="1"/>
  <c r="IO17" i="89" s="1"/>
  <c r="HS17" i="89"/>
  <c r="EY17" i="89" s="1"/>
  <c r="HT17" i="89"/>
  <c r="HQ17" i="89"/>
  <c r="HO17" i="89"/>
  <c r="EO17" i="89" s="1"/>
  <c r="HP17" i="89"/>
  <c r="HW16" i="89"/>
  <c r="HX16" i="89"/>
  <c r="HY16" i="89"/>
  <c r="FI16" i="89" s="1"/>
  <c r="HZ16" i="89"/>
  <c r="FO16" i="89" s="1"/>
  <c r="IP16" i="89" s="1"/>
  <c r="HU16" i="89"/>
  <c r="HS16" i="89"/>
  <c r="EY16" i="89" s="1"/>
  <c r="HP16" i="89"/>
  <c r="HO16" i="89"/>
  <c r="EO16" i="89" s="1"/>
  <c r="HQ16" i="89"/>
  <c r="HR16" i="89"/>
  <c r="ID19" i="88"/>
  <c r="FY19" i="88" s="1"/>
  <c r="IQ19" i="88" s="1"/>
  <c r="IA19" i="88"/>
  <c r="FS19" i="88" s="1"/>
  <c r="IB19" i="88"/>
  <c r="IC19" i="88"/>
  <c r="FI19" i="88"/>
  <c r="HX19" i="88"/>
  <c r="HZ19" i="88"/>
  <c r="FO19" i="88" s="1"/>
  <c r="IP19" i="88" s="1"/>
  <c r="HV19" i="88"/>
  <c r="FE19" i="88" s="1"/>
  <c r="IO19" i="88" s="1"/>
  <c r="HS19" i="88"/>
  <c r="EY19" i="88" s="1"/>
  <c r="HO19" i="88"/>
  <c r="EO19" i="88" s="1"/>
  <c r="HP19" i="88"/>
  <c r="HR19" i="88"/>
  <c r="EU19" i="88" s="1"/>
  <c r="IN19" i="88" s="1"/>
  <c r="HW18" i="88"/>
  <c r="FI18" i="88" s="1"/>
  <c r="FM18" i="88" s="1"/>
  <c r="HX18" i="88"/>
  <c r="HZ18" i="88"/>
  <c r="FO18" i="88" s="1"/>
  <c r="IP18" i="88" s="1"/>
  <c r="HO18" i="88"/>
  <c r="HR18" i="88"/>
  <c r="HW17" i="88"/>
  <c r="FI17" i="88" s="1"/>
  <c r="HX17" i="88"/>
  <c r="HZ17" i="88"/>
  <c r="U17" i="88"/>
  <c r="FO16" i="88"/>
  <c r="IP16" i="88" s="1"/>
  <c r="HX16" i="88"/>
  <c r="HT16" i="88"/>
  <c r="FE16" i="88" s="1"/>
  <c r="IO16" i="88" s="1"/>
  <c r="HX18" i="90"/>
  <c r="HY18" i="90"/>
  <c r="HZ18" i="90"/>
  <c r="FO18" i="90" s="1"/>
  <c r="IP18" i="90" s="1"/>
  <c r="HW18" i="90"/>
  <c r="FI18" i="90" s="1"/>
  <c r="HV18" i="90"/>
  <c r="FE18" i="90" s="1"/>
  <c r="IO18" i="90" s="1"/>
  <c r="HS18" i="90"/>
  <c r="EY18" i="90" s="1"/>
  <c r="P18" i="90"/>
  <c r="HU18" i="90"/>
  <c r="HO18" i="90"/>
  <c r="EO18" i="90" s="1"/>
  <c r="HP18" i="90"/>
  <c r="HQ18" i="90"/>
  <c r="HY17" i="90"/>
  <c r="HZ17" i="90"/>
  <c r="HW17" i="90"/>
  <c r="HV17" i="90"/>
  <c r="HS17" i="90"/>
  <c r="EY17" i="90" s="1"/>
  <c r="HT17" i="90"/>
  <c r="HU17" i="90"/>
  <c r="HR17" i="90"/>
  <c r="EU17" i="90" s="1"/>
  <c r="IN17" i="90" s="1"/>
  <c r="O17" i="90"/>
  <c r="HO17" i="90"/>
  <c r="EO17" i="90" s="1"/>
  <c r="HP17" i="90"/>
  <c r="HQ17" i="90"/>
  <c r="HZ16" i="90"/>
  <c r="FO16" i="90" s="1"/>
  <c r="IP16" i="90" s="1"/>
  <c r="HX16" i="90"/>
  <c r="HT16" i="90"/>
  <c r="HU16" i="90"/>
  <c r="HV16" i="90"/>
  <c r="FE16" i="90" s="1"/>
  <c r="IO16" i="90" s="1"/>
  <c r="HR16" i="90"/>
  <c r="HP16" i="90"/>
  <c r="GG20" i="83"/>
  <c r="IM20" i="83"/>
  <c r="IF20" i="83"/>
  <c r="IG20" i="83"/>
  <c r="X20" i="83"/>
  <c r="IH20" i="83"/>
  <c r="GI20" i="83" s="1"/>
  <c r="IR20" i="83" s="1"/>
  <c r="ID20" i="83"/>
  <c r="FY20" i="83" s="1"/>
  <c r="IQ20" i="83" s="1"/>
  <c r="R20" i="83"/>
  <c r="IA20" i="83"/>
  <c r="FS20" i="83"/>
  <c r="IC20" i="83"/>
  <c r="IB20" i="83"/>
  <c r="HW20" i="83"/>
  <c r="FI20" i="83" s="1"/>
  <c r="HX20" i="83"/>
  <c r="HY20" i="83"/>
  <c r="HZ20" i="83"/>
  <c r="FO20" i="83" s="1"/>
  <c r="IP20" i="83" s="1"/>
  <c r="EY20" i="83"/>
  <c r="HV20" i="83"/>
  <c r="FE20" i="83" s="1"/>
  <c r="IO20" i="83" s="1"/>
  <c r="HQ20" i="83"/>
  <c r="HR20" i="83"/>
  <c r="HO20" i="83"/>
  <c r="EO20" i="83" s="1"/>
  <c r="EU20" i="83"/>
  <c r="IN20" i="83" s="1"/>
  <c r="HP20" i="83"/>
  <c r="ID19" i="83"/>
  <c r="FY19" i="83" s="1"/>
  <c r="IQ19" i="83" s="1"/>
  <c r="IB19" i="83"/>
  <c r="IC19" i="83"/>
  <c r="HX19" i="83"/>
  <c r="HZ19" i="83"/>
  <c r="FO19" i="83" s="1"/>
  <c r="IP19" i="83" s="1"/>
  <c r="HW19" i="83"/>
  <c r="FI19" i="83" s="1"/>
  <c r="HV19" i="83"/>
  <c r="FE19" i="83" s="1"/>
  <c r="IO19" i="83" s="1"/>
  <c r="HS19" i="83"/>
  <c r="HT19" i="83"/>
  <c r="HU19" i="83"/>
  <c r="HR19" i="83"/>
  <c r="HQ19" i="83"/>
  <c r="IB18" i="83"/>
  <c r="IC18" i="83"/>
  <c r="IA18" i="83"/>
  <c r="FS18" i="83" s="1"/>
  <c r="HX18" i="83"/>
  <c r="EY18" i="83"/>
  <c r="FC18" i="83" s="1"/>
  <c r="IE17" i="83"/>
  <c r="GC17" i="83" s="1"/>
  <c r="IF17" i="83"/>
  <c r="IG17" i="83"/>
  <c r="IH17" i="83"/>
  <c r="GI17" i="83" s="1"/>
  <c r="IR17" i="83" s="1"/>
  <c r="IC17" i="83"/>
  <c r="ID17" i="83"/>
  <c r="R17" i="83"/>
  <c r="FY17" i="83"/>
  <c r="IQ17" i="83" s="1"/>
  <c r="IA17" i="83"/>
  <c r="FS17" i="83" s="1"/>
  <c r="IB17" i="83"/>
  <c r="HX17" i="83"/>
  <c r="HY17" i="83"/>
  <c r="T16" i="83"/>
  <c r="HP16" i="83"/>
  <c r="E61" i="88"/>
  <c r="E62" i="88" s="1"/>
  <c r="E63" i="88" s="1"/>
  <c r="E64" i="88" s="1"/>
  <c r="E65" i="88" s="1"/>
  <c r="E66" i="88" s="1"/>
  <c r="E59" i="88"/>
  <c r="E57" i="90"/>
  <c r="HY19" i="84"/>
  <c r="HZ19" i="84"/>
  <c r="FO19" i="84" s="1"/>
  <c r="IP19" i="84" s="1"/>
  <c r="HW19" i="84"/>
  <c r="FI19" i="84" s="1"/>
  <c r="HT19" i="84"/>
  <c r="HV19" i="84"/>
  <c r="FE19" i="84" s="1"/>
  <c r="IO19" i="84" s="1"/>
  <c r="EO19" i="84"/>
  <c r="HP19" i="84"/>
  <c r="O19" i="84"/>
  <c r="EU19" i="84"/>
  <c r="IN19" i="84" s="1"/>
  <c r="HQ19" i="84"/>
  <c r="HX18" i="84"/>
  <c r="HT18" i="84"/>
  <c r="IG17" i="84"/>
  <c r="IE17" i="84"/>
  <c r="GC17" i="84" s="1"/>
  <c r="ID17" i="84"/>
  <c r="FY17" i="84" s="1"/>
  <c r="IQ17" i="84" s="1"/>
  <c r="IA17" i="84"/>
  <c r="FS17" i="84" s="1"/>
  <c r="IB17" i="84"/>
  <c r="IC17" i="84"/>
  <c r="HZ17" i="84"/>
  <c r="FO17" i="84" s="1"/>
  <c r="IP17" i="84" s="1"/>
  <c r="HW17" i="84"/>
  <c r="FI17" i="84" s="1"/>
  <c r="HX17" i="84"/>
  <c r="HV17" i="84"/>
  <c r="HO17" i="84"/>
  <c r="EO17" i="84" s="1"/>
  <c r="FY16" i="84"/>
  <c r="IQ16" i="84" s="1"/>
  <c r="IA16" i="84"/>
  <c r="FS16" i="84" s="1"/>
  <c r="HW16" i="84"/>
  <c r="HR16" i="84"/>
  <c r="HX19" i="85"/>
  <c r="HW19" i="85"/>
  <c r="FI19" i="85" s="1"/>
  <c r="HY19" i="85"/>
  <c r="HZ19" i="85"/>
  <c r="FO19" i="85" s="1"/>
  <c r="IP19" i="85" s="1"/>
  <c r="HV19" i="85"/>
  <c r="FE19" i="85" s="1"/>
  <c r="IO19" i="85" s="1"/>
  <c r="HT19" i="85"/>
  <c r="HP19" i="85"/>
  <c r="HW18" i="85"/>
  <c r="HZ18" i="85"/>
  <c r="HV18" i="85"/>
  <c r="HS18" i="85"/>
  <c r="EY18" i="85" s="1"/>
  <c r="HW17" i="85"/>
  <c r="HU17" i="85"/>
  <c r="EY17" i="85"/>
  <c r="FC17" i="85" s="1"/>
  <c r="HV17" i="85"/>
  <c r="IF16" i="85"/>
  <c r="IH16" i="85"/>
  <c r="GI16" i="85" s="1"/>
  <c r="IR16" i="85" s="1"/>
  <c r="GC16" i="85"/>
  <c r="HU16" i="85"/>
  <c r="HV16" i="85"/>
  <c r="FE16" i="85" s="1"/>
  <c r="IO16" i="85" s="1"/>
  <c r="HX18" i="87"/>
  <c r="Q18" i="87"/>
  <c r="FO18" i="87"/>
  <c r="IP18" i="87" s="1"/>
  <c r="HY18" i="87"/>
  <c r="HP18" i="87"/>
  <c r="HQ18" i="87"/>
  <c r="EO18" i="87" s="1"/>
  <c r="HR18" i="87"/>
  <c r="EU18" i="87" s="1"/>
  <c r="IN18" i="87" s="1"/>
  <c r="ID17" i="87"/>
  <c r="FY17" i="87" s="1"/>
  <c r="IQ17" i="87" s="1"/>
  <c r="IA17" i="87"/>
  <c r="IB17" i="87"/>
  <c r="IC17" i="87"/>
  <c r="HU17" i="87"/>
  <c r="EO17" i="87"/>
  <c r="II17" i="87" s="1"/>
  <c r="HR17" i="87"/>
  <c r="HP17" i="87"/>
  <c r="HQ17" i="87"/>
  <c r="HU16" i="87"/>
  <c r="HR16" i="87"/>
  <c r="HP16" i="87"/>
  <c r="HQ16" i="87"/>
  <c r="EO16" i="87" s="1"/>
  <c r="ES16" i="87" s="1"/>
  <c r="IE20" i="79"/>
  <c r="GC20" i="79" s="1"/>
  <c r="IH20" i="79"/>
  <c r="GI20" i="79" s="1"/>
  <c r="IR20" i="79" s="1"/>
  <c r="IF20" i="79"/>
  <c r="IL20" i="79"/>
  <c r="IB20" i="79"/>
  <c r="FY20" i="79"/>
  <c r="IQ20" i="79" s="1"/>
  <c r="IC20" i="79"/>
  <c r="ID20" i="79"/>
  <c r="HZ20" i="79"/>
  <c r="FO20" i="79" s="1"/>
  <c r="IP20" i="79" s="1"/>
  <c r="HW20" i="79"/>
  <c r="FI20" i="79" s="1"/>
  <c r="HX20" i="79"/>
  <c r="HT20" i="79"/>
  <c r="HU20" i="79"/>
  <c r="HS20" i="79"/>
  <c r="EY20" i="79" s="1"/>
  <c r="HV20" i="79"/>
  <c r="FE20" i="79" s="1"/>
  <c r="IO20" i="79" s="1"/>
  <c r="EO20" i="79"/>
  <c r="HP20" i="79"/>
  <c r="IF19" i="79"/>
  <c r="IG19" i="79"/>
  <c r="IH19" i="79"/>
  <c r="GI19" i="79" s="1"/>
  <c r="IR19" i="79" s="1"/>
  <c r="IE19" i="79"/>
  <c r="GC19" i="79" s="1"/>
  <c r="R19" i="79"/>
  <c r="IA19" i="79"/>
  <c r="IB19" i="79"/>
  <c r="IC19" i="79"/>
  <c r="HX19" i="79"/>
  <c r="HZ19" i="79"/>
  <c r="HW19" i="79"/>
  <c r="FI19" i="79" s="1"/>
  <c r="HT19" i="79"/>
  <c r="HR19" i="79"/>
  <c r="EU19" i="79" s="1"/>
  <c r="IN19" i="79" s="1"/>
  <c r="HO19" i="79"/>
  <c r="EO19" i="79" s="1"/>
  <c r="HP19" i="79"/>
  <c r="HQ19" i="79"/>
  <c r="HP18" i="79"/>
  <c r="HY17" i="79"/>
  <c r="HO17" i="79"/>
  <c r="EO17" i="79" s="1"/>
  <c r="GI16" i="79"/>
  <c r="IR16" i="79" s="1"/>
  <c r="IH16" i="79"/>
  <c r="IE16" i="79"/>
  <c r="IF16" i="79"/>
  <c r="GC16" i="79"/>
  <c r="HZ16" i="79"/>
  <c r="HW16" i="79"/>
  <c r="FI16" i="79" s="1"/>
  <c r="HS16" i="79"/>
  <c r="EY16" i="79" s="1"/>
  <c r="HU16" i="79"/>
  <c r="HV16" i="79"/>
  <c r="FE16" i="79" s="1"/>
  <c r="IO16" i="79" s="1"/>
  <c r="IB19" i="78"/>
  <c r="FS19" i="78"/>
  <c r="HY19" i="78"/>
  <c r="Q19" i="78"/>
  <c r="HW19" i="78"/>
  <c r="HV19" i="78"/>
  <c r="EY19" i="78"/>
  <c r="HT19" i="78"/>
  <c r="FE19" i="78" s="1"/>
  <c r="IO19" i="78" s="1"/>
  <c r="T19" i="78"/>
  <c r="HP19" i="78"/>
  <c r="FO18" i="78"/>
  <c r="IP18" i="78" s="1"/>
  <c r="HX18" i="78"/>
  <c r="HS18" i="78"/>
  <c r="EY18" i="78" s="1"/>
  <c r="IB17" i="78"/>
  <c r="IA17" i="78"/>
  <c r="FS17" i="78" s="1"/>
  <c r="HX17" i="78"/>
  <c r="FO17" i="78" s="1"/>
  <c r="IP17" i="78" s="1"/>
  <c r="HW17" i="78"/>
  <c r="FI17" i="78" s="1"/>
  <c r="HP17" i="78"/>
  <c r="HZ16" i="78"/>
  <c r="FO16" i="78" s="1"/>
  <c r="IP16" i="78" s="1"/>
  <c r="HW16" i="78"/>
  <c r="FI16" i="78" s="1"/>
  <c r="FM16" i="78" s="1"/>
  <c r="HO16" i="78"/>
  <c r="HR16" i="78"/>
  <c r="O16" i="78"/>
  <c r="HZ18" i="82"/>
  <c r="HX18" i="82"/>
  <c r="HY18" i="82"/>
  <c r="HP18" i="82"/>
  <c r="ID17" i="82"/>
  <c r="FY17" i="82" s="1"/>
  <c r="IQ17" i="82" s="1"/>
  <c r="IL17" i="82"/>
  <c r="R17" i="82"/>
  <c r="IB17" i="82"/>
  <c r="HT17" i="82"/>
  <c r="HU17" i="82"/>
  <c r="IA16" i="82"/>
  <c r="FS16" i="82" s="1"/>
  <c r="HW16" i="82"/>
  <c r="FI16" i="82" s="1"/>
  <c r="HX16" i="82"/>
  <c r="HZ16" i="82"/>
  <c r="FO16" i="82" s="1"/>
  <c r="IP16" i="82" s="1"/>
  <c r="HV16" i="82"/>
  <c r="FE16" i="82" s="1"/>
  <c r="IO16" i="82" s="1"/>
  <c r="IC18" i="81"/>
  <c r="HW18" i="81"/>
  <c r="FI18" i="81" s="1"/>
  <c r="HX18" i="81"/>
  <c r="FO18" i="81" s="1"/>
  <c r="IP18" i="81" s="1"/>
  <c r="IG17" i="81"/>
  <c r="S17" i="81"/>
  <c r="IH17" i="81"/>
  <c r="GI17" i="81" s="1"/>
  <c r="IR17" i="81" s="1"/>
  <c r="IE17" i="81"/>
  <c r="GC17" i="81" s="1"/>
  <c r="IA17" i="81"/>
  <c r="FS17" i="81" s="1"/>
  <c r="ID17" i="81"/>
  <c r="FY17" i="81" s="1"/>
  <c r="IQ17" i="81" s="1"/>
  <c r="IB17" i="81"/>
  <c r="HW17" i="81"/>
  <c r="FI17" i="81" s="1"/>
  <c r="HX16" i="81"/>
  <c r="HS16" i="81"/>
  <c r="EY16" i="81" s="1"/>
  <c r="FC16" i="81" s="1"/>
  <c r="Q20" i="76"/>
  <c r="HZ20" i="76"/>
  <c r="FO20" i="76" s="1"/>
  <c r="IP20" i="76" s="1"/>
  <c r="HW20" i="76"/>
  <c r="FI20" i="76" s="1"/>
  <c r="HX20" i="76"/>
  <c r="V20" i="76"/>
  <c r="HU20" i="76"/>
  <c r="EY20" i="76" s="1"/>
  <c r="P20" i="76"/>
  <c r="U20" i="76"/>
  <c r="HV20" i="76"/>
  <c r="FE20" i="76" s="1"/>
  <c r="IO20" i="76" s="1"/>
  <c r="II20" i="76"/>
  <c r="ES20" i="76"/>
  <c r="HQ20" i="76"/>
  <c r="O20" i="76"/>
  <c r="HR20" i="76"/>
  <c r="EU20" i="76" s="1"/>
  <c r="IN20" i="76" s="1"/>
  <c r="T20" i="76"/>
  <c r="X19" i="76"/>
  <c r="GI19" i="76"/>
  <c r="IR19" i="76" s="1"/>
  <c r="IE19" i="76"/>
  <c r="GC19" i="76" s="1"/>
  <c r="IF19" i="76"/>
  <c r="S19" i="76"/>
  <c r="IC19" i="76"/>
  <c r="R19" i="76"/>
  <c r="ID19" i="76"/>
  <c r="FY19" i="76" s="1"/>
  <c r="IQ19" i="76" s="1"/>
  <c r="HW19" i="76"/>
  <c r="FI19" i="76" s="1"/>
  <c r="HX19" i="76"/>
  <c r="V19" i="76"/>
  <c r="HU19" i="76"/>
  <c r="P19" i="76"/>
  <c r="U19" i="76"/>
  <c r="HV19" i="76"/>
  <c r="FE19" i="76" s="1"/>
  <c r="IO19" i="76" s="1"/>
  <c r="EY19" i="76"/>
  <c r="HP19" i="76"/>
  <c r="O19" i="76"/>
  <c r="HQ19" i="76"/>
  <c r="EO19" i="76" s="1"/>
  <c r="T19" i="76"/>
  <c r="HR19" i="76"/>
  <c r="EU19" i="76" s="1"/>
  <c r="IN19" i="76" s="1"/>
  <c r="IE18" i="76"/>
  <c r="GC18" i="76" s="1"/>
  <c r="IF18" i="76"/>
  <c r="IG18" i="76"/>
  <c r="HQ18" i="76"/>
  <c r="HR18" i="76"/>
  <c r="EU18" i="76" s="1"/>
  <c r="IN18" i="76" s="1"/>
  <c r="R18" i="76"/>
  <c r="IC18" i="76"/>
  <c r="FY18" i="76"/>
  <c r="IQ18" i="76" s="1"/>
  <c r="IA18" i="76"/>
  <c r="FS18" i="76" s="1"/>
  <c r="IB18" i="76"/>
  <c r="W18" i="76"/>
  <c r="HZ18" i="76"/>
  <c r="FO18" i="76" s="1"/>
  <c r="IP18" i="76" s="1"/>
  <c r="HY18" i="76"/>
  <c r="HW18" i="76"/>
  <c r="FI18" i="76" s="1"/>
  <c r="HX18" i="76"/>
  <c r="HV18" i="76"/>
  <c r="FE18" i="76" s="1"/>
  <c r="IO18" i="76" s="1"/>
  <c r="HS18" i="76"/>
  <c r="EY18" i="76" s="1"/>
  <c r="IJ18" i="76" s="1"/>
  <c r="HT18" i="76"/>
  <c r="HO18" i="76"/>
  <c r="EO18" i="76" s="1"/>
  <c r="HP18" i="76"/>
  <c r="IH16" i="76"/>
  <c r="IE16" i="76"/>
  <c r="GC16" i="76" s="1"/>
  <c r="GI16" i="76"/>
  <c r="IR16" i="76" s="1"/>
  <c r="IF16" i="76"/>
  <c r="ID16" i="76"/>
  <c r="FY16" i="76" s="1"/>
  <c r="IQ16" i="76" s="1"/>
  <c r="W16" i="76"/>
  <c r="IB16" i="76"/>
  <c r="IA16" i="76"/>
  <c r="FS16" i="76" s="1"/>
  <c r="IC16" i="76"/>
  <c r="HW16" i="76"/>
  <c r="FI16" i="76" s="1"/>
  <c r="FM16" i="76" s="1"/>
  <c r="V16" i="76"/>
  <c r="HX16" i="76"/>
  <c r="HY16" i="76"/>
  <c r="HV16" i="76"/>
  <c r="FE16" i="76" s="1"/>
  <c r="IO16" i="76" s="1"/>
  <c r="IC18" i="92"/>
  <c r="ID18" i="92"/>
  <c r="W18" i="92"/>
  <c r="FS18" i="92"/>
  <c r="IA18" i="92"/>
  <c r="FY18" i="92"/>
  <c r="IQ18" i="92" s="1"/>
  <c r="IB18" i="92"/>
  <c r="HW18" i="92"/>
  <c r="HX18" i="92"/>
  <c r="HY18" i="92"/>
  <c r="HZ18" i="92"/>
  <c r="FO18" i="92" s="1"/>
  <c r="IP18" i="92" s="1"/>
  <c r="HV18" i="92"/>
  <c r="HS18" i="92"/>
  <c r="EY18" i="92" s="1"/>
  <c r="HT18" i="92"/>
  <c r="HP18" i="92"/>
  <c r="EU18" i="92" s="1"/>
  <c r="IN18" i="92" s="1"/>
  <c r="IB17" i="92"/>
  <c r="IC17" i="92"/>
  <c r="ID17" i="92"/>
  <c r="FY17" i="92" s="1"/>
  <c r="IQ17" i="92" s="1"/>
  <c r="IA17" i="92"/>
  <c r="FS17" i="92" s="1"/>
  <c r="HW17" i="92"/>
  <c r="FI17" i="92" s="1"/>
  <c r="HX17" i="92"/>
  <c r="HY17" i="92"/>
  <c r="HU17" i="92"/>
  <c r="HS17" i="92"/>
  <c r="O17" i="92"/>
  <c r="HP17" i="92"/>
  <c r="HQ17" i="92"/>
  <c r="HR17" i="92"/>
  <c r="EU17" i="92" s="1"/>
  <c r="IN17" i="92" s="1"/>
  <c r="HO17" i="92"/>
  <c r="EO17" i="92" s="1"/>
  <c r="IH16" i="92"/>
  <c r="GI16" i="92" s="1"/>
  <c r="IR16" i="92" s="1"/>
  <c r="IE16" i="92"/>
  <c r="GC16" i="92" s="1"/>
  <c r="S16" i="92"/>
  <c r="IF16" i="92"/>
  <c r="IG16" i="92"/>
  <c r="FS16" i="92"/>
  <c r="IB16" i="92"/>
  <c r="IC16" i="92"/>
  <c r="ID16" i="92"/>
  <c r="FY16" i="92" s="1"/>
  <c r="IQ16" i="92" s="1"/>
  <c r="HZ16" i="92"/>
  <c r="FO16" i="92" s="1"/>
  <c r="IP16" i="92" s="1"/>
  <c r="HW16" i="92"/>
  <c r="HX16" i="92"/>
  <c r="HY16" i="92"/>
  <c r="HU16" i="92"/>
  <c r="HV16" i="92"/>
  <c r="FE16" i="92" s="1"/>
  <c r="IO16" i="92" s="1"/>
  <c r="HP16" i="92"/>
  <c r="HR16" i="92"/>
  <c r="HO16" i="92"/>
  <c r="EO16" i="92" s="1"/>
  <c r="HQ16" i="92"/>
  <c r="IB19" i="77"/>
  <c r="IC19" i="77"/>
  <c r="ID19" i="77"/>
  <c r="FY19" i="77" s="1"/>
  <c r="IQ19" i="77" s="1"/>
  <c r="IA19" i="77"/>
  <c r="FS19" i="77" s="1"/>
  <c r="FI19" i="77"/>
  <c r="HZ19" i="77"/>
  <c r="FO19" i="77" s="1"/>
  <c r="IP19" i="77" s="1"/>
  <c r="V19" i="77"/>
  <c r="HY19" i="77"/>
  <c r="HU19" i="77"/>
  <c r="HV19" i="77"/>
  <c r="FE19" i="77" s="1"/>
  <c r="IO19" i="77" s="1"/>
  <c r="HS19" i="77"/>
  <c r="EY19" i="77" s="1"/>
  <c r="HR19" i="77"/>
  <c r="EU19" i="77" s="1"/>
  <c r="IN19" i="77" s="1"/>
  <c r="HO19" i="77"/>
  <c r="EO19" i="77" s="1"/>
  <c r="IM17" i="77"/>
  <c r="GI17" i="77"/>
  <c r="IR17" i="77" s="1"/>
  <c r="IF17" i="77"/>
  <c r="IH17" i="77"/>
  <c r="IC17" i="77"/>
  <c r="ID17" i="77"/>
  <c r="FY17" i="77" s="1"/>
  <c r="IQ17" i="77" s="1"/>
  <c r="IA17" i="77"/>
  <c r="FS17" i="77" s="1"/>
  <c r="HU17" i="77"/>
  <c r="HQ17" i="77"/>
  <c r="HR17" i="77"/>
  <c r="EU17" i="77" s="1"/>
  <c r="IN17" i="77" s="1"/>
  <c r="W17" i="76"/>
  <c r="IB17" i="76"/>
  <c r="HY17" i="76"/>
  <c r="HZ17" i="76"/>
  <c r="FO17" i="76" s="1"/>
  <c r="IP17" i="76" s="1"/>
  <c r="HU17" i="76"/>
  <c r="HV17" i="76"/>
  <c r="FE17" i="76" s="1"/>
  <c r="IO17" i="76" s="1"/>
  <c r="T17" i="76"/>
  <c r="HO17" i="76"/>
  <c r="EO17" i="76" s="1"/>
  <c r="EU17" i="76"/>
  <c r="IN17" i="76" s="1"/>
  <c r="HP17" i="76"/>
  <c r="O17" i="76"/>
  <c r="HQ17" i="76"/>
  <c r="V19" i="74"/>
  <c r="HX19" i="74"/>
  <c r="HZ19" i="74"/>
  <c r="FO19" i="74" s="1"/>
  <c r="IP19" i="74" s="1"/>
  <c r="HT19" i="74"/>
  <c r="HQ19" i="74"/>
  <c r="HR19" i="74"/>
  <c r="EU19" i="74" s="1"/>
  <c r="IN19" i="74" s="1"/>
  <c r="HO19" i="74"/>
  <c r="EO19" i="74" s="1"/>
  <c r="O19" i="74"/>
  <c r="HP19" i="74"/>
  <c r="HX18" i="74"/>
  <c r="HZ18" i="74"/>
  <c r="EO18" i="74"/>
  <c r="II18" i="74" s="1"/>
  <c r="HP18" i="74"/>
  <c r="HR18" i="74"/>
  <c r="EU18" i="74" s="1"/>
  <c r="IN18" i="74" s="1"/>
  <c r="HP16" i="77"/>
  <c r="FY17" i="74"/>
  <c r="IQ17" i="74" s="1"/>
  <c r="IB17" i="74"/>
  <c r="IC17" i="74"/>
  <c r="HZ17" i="74"/>
  <c r="FO17" i="74" s="1"/>
  <c r="IP17" i="74" s="1"/>
  <c r="HQ17" i="74"/>
  <c r="HR17" i="74"/>
  <c r="EU17" i="74" s="1"/>
  <c r="IN17" i="74" s="1"/>
  <c r="HZ16" i="74"/>
  <c r="HX16" i="74"/>
  <c r="EU16" i="74"/>
  <c r="IN16" i="74" s="1"/>
  <c r="HP16" i="74"/>
  <c r="HQ16" i="74"/>
  <c r="HT18" i="77"/>
  <c r="HP18" i="77"/>
  <c r="HQ18" i="77"/>
  <c r="W18" i="75"/>
  <c r="R18" i="75"/>
  <c r="R20" i="75"/>
  <c r="W20" i="75"/>
  <c r="U19" i="78"/>
  <c r="P19" i="78"/>
  <c r="E59" i="79"/>
  <c r="P20" i="79"/>
  <c r="V20" i="84"/>
  <c r="Q20" i="84"/>
  <c r="E58" i="86"/>
  <c r="HT16" i="86"/>
  <c r="HS16" i="86"/>
  <c r="HV16" i="86"/>
  <c r="FE16" i="86" s="1"/>
  <c r="IO16" i="86" s="1"/>
  <c r="X20" i="68"/>
  <c r="W19" i="71"/>
  <c r="S18" i="70"/>
  <c r="P18" i="71"/>
  <c r="HV18" i="71"/>
  <c r="S19" i="67"/>
  <c r="X19" i="67"/>
  <c r="O19" i="67"/>
  <c r="T19" i="67"/>
  <c r="R17" i="75"/>
  <c r="W17" i="75"/>
  <c r="HW17" i="68"/>
  <c r="E57" i="69"/>
  <c r="B20" i="69"/>
  <c r="T19" i="69"/>
  <c r="S17" i="70"/>
  <c r="V19" i="70"/>
  <c r="X16" i="74"/>
  <c r="S16" i="74"/>
  <c r="E58" i="68"/>
  <c r="X16" i="68"/>
  <c r="HQ17" i="68"/>
  <c r="HZ18" i="68"/>
  <c r="V19" i="68"/>
  <c r="T20" i="68"/>
  <c r="Z20" i="68" s="1"/>
  <c r="GT20" i="68" s="1"/>
  <c r="S16" i="69"/>
  <c r="O17" i="69"/>
  <c r="HR17" i="69"/>
  <c r="W19" i="69"/>
  <c r="W17" i="70"/>
  <c r="T18" i="70"/>
  <c r="W20" i="70"/>
  <c r="HP16" i="71"/>
  <c r="HR16" i="71"/>
  <c r="EU16" i="71" s="1"/>
  <c r="IN16" i="71" s="1"/>
  <c r="U19" i="71"/>
  <c r="P19" i="71"/>
  <c r="R19" i="72"/>
  <c r="W19" i="72"/>
  <c r="E58" i="75"/>
  <c r="HO16" i="75"/>
  <c r="EO16" i="75" s="1"/>
  <c r="ES16" i="75" s="1"/>
  <c r="HP16" i="75"/>
  <c r="HO18" i="82"/>
  <c r="EO18" i="82" s="1"/>
  <c r="T18" i="82"/>
  <c r="O18" i="82"/>
  <c r="HY16" i="84"/>
  <c r="V16" i="84"/>
  <c r="HW18" i="68"/>
  <c r="P20" i="68"/>
  <c r="W16" i="71"/>
  <c r="IC16" i="71"/>
  <c r="HX17" i="71"/>
  <c r="Q17" i="71"/>
  <c r="U18" i="71"/>
  <c r="E58" i="72"/>
  <c r="R20" i="67"/>
  <c r="W20" i="67"/>
  <c r="Q17" i="67"/>
  <c r="V17" i="67"/>
  <c r="HO16" i="74"/>
  <c r="EO16" i="74" s="1"/>
  <c r="II16" i="74" s="1"/>
  <c r="T16" i="74"/>
  <c r="O18" i="79"/>
  <c r="T18" i="79"/>
  <c r="Q18" i="80"/>
  <c r="HX18" i="80"/>
  <c r="HZ18" i="80"/>
  <c r="FO18" i="80" s="1"/>
  <c r="IP18" i="80" s="1"/>
  <c r="S17" i="69"/>
  <c r="Q19" i="69"/>
  <c r="Y19" i="69" s="1"/>
  <c r="GM19" i="69" s="1"/>
  <c r="HW16" i="70"/>
  <c r="W18" i="70"/>
  <c r="ID16" i="71"/>
  <c r="FY16" i="71" s="1"/>
  <c r="IQ16" i="71" s="1"/>
  <c r="HY17" i="71"/>
  <c r="W18" i="71"/>
  <c r="ID18" i="71"/>
  <c r="FY18" i="71" s="1"/>
  <c r="IQ18" i="71" s="1"/>
  <c r="HS18" i="71"/>
  <c r="Q20" i="71"/>
  <c r="V20" i="71"/>
  <c r="HX17" i="72"/>
  <c r="Q17" i="72"/>
  <c r="X20" i="78"/>
  <c r="S20" i="78"/>
  <c r="HO17" i="80"/>
  <c r="HR17" i="80"/>
  <c r="EU17" i="80" s="1"/>
  <c r="IN17" i="80" s="1"/>
  <c r="HQ17" i="80"/>
  <c r="T17" i="80"/>
  <c r="O17" i="80"/>
  <c r="E58" i="87"/>
  <c r="HY17" i="88"/>
  <c r="Q17" i="88"/>
  <c r="V17" i="88"/>
  <c r="T20" i="89"/>
  <c r="O20" i="89"/>
  <c r="X20" i="89"/>
  <c r="S20" i="89"/>
  <c r="S20" i="90"/>
  <c r="X20" i="90"/>
  <c r="T16" i="91"/>
  <c r="HQ16" i="91"/>
  <c r="HP16" i="91"/>
  <c r="HR16" i="91"/>
  <c r="EU16" i="91" s="1"/>
  <c r="IN16" i="91" s="1"/>
  <c r="E60" i="92"/>
  <c r="R16" i="92"/>
  <c r="W16" i="92"/>
  <c r="Q17" i="92"/>
  <c r="HU17" i="71"/>
  <c r="IH18" i="71"/>
  <c r="P20" i="67"/>
  <c r="Q19" i="67"/>
  <c r="R18" i="67"/>
  <c r="T18" i="74"/>
  <c r="U19" i="74"/>
  <c r="Q20" i="74"/>
  <c r="T20" i="77"/>
  <c r="V16" i="78"/>
  <c r="V16" i="79"/>
  <c r="R20" i="79"/>
  <c r="HV17" i="80"/>
  <c r="FE17" i="80" s="1"/>
  <c r="IO17" i="80" s="1"/>
  <c r="X18" i="80"/>
  <c r="HR18" i="80"/>
  <c r="EU18" i="80" s="1"/>
  <c r="IN18" i="80" s="1"/>
  <c r="W16" i="81"/>
  <c r="V18" i="81"/>
  <c r="U19" i="81"/>
  <c r="S20" i="81"/>
  <c r="Q16" i="82"/>
  <c r="HT17" i="86"/>
  <c r="HV17" i="86"/>
  <c r="HT18" i="86"/>
  <c r="HV18" i="86"/>
  <c r="FE18" i="86" s="1"/>
  <c r="IO18" i="86" s="1"/>
  <c r="HU18" i="86"/>
  <c r="E57" i="89"/>
  <c r="U17" i="90"/>
  <c r="T20" i="90"/>
  <c r="V17" i="78"/>
  <c r="X19" i="79"/>
  <c r="X19" i="81"/>
  <c r="ID16" i="83"/>
  <c r="FY16" i="83" s="1"/>
  <c r="IQ16" i="83" s="1"/>
  <c r="R16" i="83"/>
  <c r="W16" i="83"/>
  <c r="P19" i="83"/>
  <c r="X16" i="84"/>
  <c r="S16" i="84"/>
  <c r="E58" i="84"/>
  <c r="P17" i="87"/>
  <c r="T19" i="88"/>
  <c r="O19" i="88"/>
  <c r="Q18" i="91"/>
  <c r="HW18" i="91"/>
  <c r="GI18" i="71"/>
  <c r="IR18" i="71" s="1"/>
  <c r="HT17" i="72"/>
  <c r="HO18" i="72"/>
  <c r="EO18" i="72" s="1"/>
  <c r="P19" i="72"/>
  <c r="U20" i="72"/>
  <c r="O17" i="74"/>
  <c r="O18" i="74"/>
  <c r="P19" i="75"/>
  <c r="Y19" i="75" s="1"/>
  <c r="O19" i="79"/>
  <c r="O18" i="80"/>
  <c r="P20" i="80"/>
  <c r="E58" i="82"/>
  <c r="V16" i="82"/>
  <c r="X19" i="82"/>
  <c r="S19" i="82"/>
  <c r="S17" i="83"/>
  <c r="X19" i="83"/>
  <c r="X17" i="85"/>
  <c r="T19" i="86"/>
  <c r="S16" i="90"/>
  <c r="X16" i="90"/>
  <c r="O19" i="91"/>
  <c r="T19" i="91"/>
  <c r="Q20" i="91"/>
  <c r="V20" i="91"/>
  <c r="HY16" i="86"/>
  <c r="W19" i="86"/>
  <c r="Q19" i="89"/>
  <c r="U16" i="90"/>
  <c r="HS16" i="91"/>
  <c r="HZ17" i="91"/>
  <c r="P19" i="91"/>
  <c r="Q18" i="92"/>
  <c r="W20" i="92"/>
  <c r="P19" i="85"/>
  <c r="HQ17" i="86"/>
  <c r="P19" i="86"/>
  <c r="O16" i="87"/>
  <c r="GG18" i="87"/>
  <c r="O16" i="89"/>
  <c r="O17" i="89"/>
  <c r="O18" i="89"/>
  <c r="S19" i="89"/>
  <c r="Q20" i="89"/>
  <c r="T18" i="90"/>
  <c r="Q20" i="90"/>
  <c r="E59" i="90"/>
  <c r="HT16" i="91"/>
  <c r="O16" i="92"/>
  <c r="W17" i="92"/>
  <c r="Z17" i="92" s="1"/>
  <c r="GT17" i="92" s="1"/>
  <c r="S18" i="92"/>
  <c r="O19" i="92"/>
  <c r="T20" i="86"/>
  <c r="T16" i="87"/>
  <c r="S19" i="87"/>
  <c r="Q16" i="89"/>
  <c r="Q17" i="89"/>
  <c r="Q18" i="89"/>
  <c r="HW16" i="91"/>
  <c r="HO17" i="91"/>
  <c r="Q16" i="92"/>
  <c r="Q19" i="92"/>
  <c r="X19" i="77"/>
  <c r="S16" i="77"/>
  <c r="S17" i="77"/>
  <c r="P19" i="77"/>
  <c r="W16" i="77"/>
  <c r="O18" i="77"/>
  <c r="V20" i="77"/>
  <c r="HX18" i="75"/>
  <c r="HX18" i="91"/>
  <c r="HY18" i="91"/>
  <c r="FI18" i="91" s="1"/>
  <c r="HZ18" i="91"/>
  <c r="FO18" i="91" s="1"/>
  <c r="IP18" i="91" s="1"/>
  <c r="P18" i="91"/>
  <c r="HS18" i="91"/>
  <c r="HT18" i="91"/>
  <c r="P18" i="67"/>
  <c r="U18" i="86"/>
  <c r="HU18" i="91"/>
  <c r="EY18" i="91" s="1"/>
  <c r="HV18" i="70"/>
  <c r="FE18" i="70" s="1"/>
  <c r="IO18" i="70" s="1"/>
  <c r="HS18" i="86"/>
  <c r="EY18" i="86" s="1"/>
  <c r="FC18" i="86" s="1"/>
  <c r="HV18" i="91"/>
  <c r="FE18" i="91" s="1"/>
  <c r="IO18" i="91" s="1"/>
  <c r="HX17" i="68"/>
  <c r="HX17" i="75"/>
  <c r="HW17" i="91"/>
  <c r="HY17" i="68"/>
  <c r="HX17" i="91"/>
  <c r="HY17" i="72"/>
  <c r="FI17" i="72" s="1"/>
  <c r="HY17" i="91"/>
  <c r="FI17" i="91" s="1"/>
  <c r="P17" i="91"/>
  <c r="HV17" i="91"/>
  <c r="FE17" i="91" s="1"/>
  <c r="IO17" i="91" s="1"/>
  <c r="HU17" i="72"/>
  <c r="HU17" i="86"/>
  <c r="EY17" i="86" s="1"/>
  <c r="FC17" i="86" s="1"/>
  <c r="HS17" i="91"/>
  <c r="HT17" i="70"/>
  <c r="HV17" i="72"/>
  <c r="HT17" i="91"/>
  <c r="HS17" i="72"/>
  <c r="HU17" i="91"/>
  <c r="HP17" i="70"/>
  <c r="T17" i="67"/>
  <c r="HP17" i="91"/>
  <c r="HP17" i="69"/>
  <c r="HP17" i="75"/>
  <c r="HP17" i="80"/>
  <c r="HQ17" i="91"/>
  <c r="HO18" i="91"/>
  <c r="HP18" i="75"/>
  <c r="HP18" i="91"/>
  <c r="T18" i="68"/>
  <c r="HP18" i="68"/>
  <c r="HO18" i="70"/>
  <c r="HP18" i="72"/>
  <c r="T18" i="67"/>
  <c r="Z18" i="67" s="1"/>
  <c r="HQ18" i="75"/>
  <c r="EO18" i="75" s="1"/>
  <c r="HQ18" i="91"/>
  <c r="HR18" i="70"/>
  <c r="EU18" i="70" s="1"/>
  <c r="IN18" i="70" s="1"/>
  <c r="HR18" i="72"/>
  <c r="T18" i="75"/>
  <c r="HR18" i="75"/>
  <c r="EU18" i="75" s="1"/>
  <c r="IN18" i="75" s="1"/>
  <c r="EO18" i="80"/>
  <c r="ES18" i="80" s="1"/>
  <c r="HP18" i="80"/>
  <c r="HR18" i="91"/>
  <c r="EU18" i="91" s="1"/>
  <c r="IN18" i="91" s="1"/>
  <c r="HW16" i="68"/>
  <c r="HZ16" i="72"/>
  <c r="HX16" i="68"/>
  <c r="HX16" i="75"/>
  <c r="HX16" i="91"/>
  <c r="FO16" i="91" s="1"/>
  <c r="IP16" i="91" s="1"/>
  <c r="HU16" i="69"/>
  <c r="P16" i="80"/>
  <c r="U16" i="68"/>
  <c r="U16" i="69"/>
  <c r="HV16" i="69"/>
  <c r="HV16" i="80"/>
  <c r="P16" i="91"/>
  <c r="HU16" i="91"/>
  <c r="U16" i="86"/>
  <c r="HU16" i="86"/>
  <c r="EY16" i="86" s="1"/>
  <c r="HV16" i="91"/>
  <c r="FE16" i="91" s="1"/>
  <c r="IO16" i="91" s="1"/>
  <c r="HQ16" i="68"/>
  <c r="T16" i="68"/>
  <c r="HR16" i="72"/>
  <c r="HR16" i="75"/>
  <c r="EU16" i="75" s="1"/>
  <c r="IN16" i="75" s="1"/>
  <c r="HR16" i="80"/>
  <c r="EU16" i="80" s="1"/>
  <c r="IN16" i="80" s="1"/>
  <c r="EO16" i="80"/>
  <c r="ES16" i="80" s="1"/>
  <c r="HO16" i="91"/>
  <c r="E61" i="86"/>
  <c r="E62" i="86" s="1"/>
  <c r="E63" i="86" s="1"/>
  <c r="E64" i="86" s="1"/>
  <c r="E65" i="86" s="1"/>
  <c r="E66" i="86" s="1"/>
  <c r="A4" i="69"/>
  <c r="E58" i="69" s="1"/>
  <c r="A8" i="69"/>
  <c r="B12" i="69"/>
  <c r="A2" i="86"/>
  <c r="B19" i="86" s="1"/>
  <c r="B12" i="86"/>
  <c r="E60" i="91"/>
  <c r="A2" i="68"/>
  <c r="B19" i="68" s="1"/>
  <c r="A6" i="68"/>
  <c r="A5" i="69"/>
  <c r="A9" i="69"/>
  <c r="E61" i="69" s="1"/>
  <c r="E62" i="69" s="1"/>
  <c r="E63" i="69" s="1"/>
  <c r="E64" i="69" s="1"/>
  <c r="E65" i="69" s="1"/>
  <c r="E66" i="69" s="1"/>
  <c r="AC13" i="69"/>
  <c r="A2" i="75"/>
  <c r="B19" i="75" s="1"/>
  <c r="A5" i="75"/>
  <c r="AC11" i="75"/>
  <c r="AX53" i="75" s="1"/>
  <c r="AC13" i="75"/>
  <c r="A3" i="80"/>
  <c r="A6" i="80"/>
  <c r="A3" i="86"/>
  <c r="B20" i="86" s="1"/>
  <c r="A5" i="86"/>
  <c r="A8" i="86"/>
  <c r="E60" i="86" s="1"/>
  <c r="A3" i="68"/>
  <c r="B20" i="68" s="1"/>
  <c r="A2" i="69"/>
  <c r="B19" i="69" s="1"/>
  <c r="A6" i="69"/>
  <c r="A3" i="72"/>
  <c r="B20" i="72" s="1"/>
  <c r="A6" i="72"/>
  <c r="A9" i="72"/>
  <c r="A3" i="75"/>
  <c r="B20" i="75" s="1"/>
  <c r="A8" i="75"/>
  <c r="E60" i="75" s="1"/>
  <c r="A4" i="80"/>
  <c r="A7" i="80"/>
  <c r="A6" i="86"/>
  <c r="P16" i="92"/>
  <c r="P17" i="92"/>
  <c r="P18" i="92"/>
  <c r="R19" i="92"/>
  <c r="P20" i="92"/>
  <c r="Q20" i="92"/>
  <c r="E59" i="92"/>
  <c r="S19" i="90"/>
  <c r="Q19" i="91"/>
  <c r="U19" i="90"/>
  <c r="Z19" i="90" s="1"/>
  <c r="GT19" i="90" s="1"/>
  <c r="E60" i="90"/>
  <c r="S16" i="91"/>
  <c r="S17" i="91"/>
  <c r="S18" i="91"/>
  <c r="W19" i="91"/>
  <c r="R19" i="91"/>
  <c r="P20" i="90"/>
  <c r="O16" i="91"/>
  <c r="O17" i="91"/>
  <c r="O18" i="91"/>
  <c r="E58" i="91"/>
  <c r="Q16" i="90"/>
  <c r="Y16" i="90" s="1"/>
  <c r="W16" i="90"/>
  <c r="Q17" i="90"/>
  <c r="W17" i="90"/>
  <c r="Q18" i="90"/>
  <c r="W18" i="90"/>
  <c r="O19" i="90"/>
  <c r="R19" i="90"/>
  <c r="W20" i="90"/>
  <c r="E57" i="91"/>
  <c r="V16" i="91"/>
  <c r="V17" i="91"/>
  <c r="V18" i="91"/>
  <c r="Z18" i="91" s="1"/>
  <c r="GT18" i="91" s="1"/>
  <c r="U20" i="91"/>
  <c r="P20" i="91"/>
  <c r="W16" i="89"/>
  <c r="Z16" i="89" s="1"/>
  <c r="GT16" i="89" s="1"/>
  <c r="W17" i="89"/>
  <c r="W18" i="89"/>
  <c r="Z18" i="89" s="1"/>
  <c r="GT18" i="89" s="1"/>
  <c r="U19" i="89"/>
  <c r="Z19" i="89" s="1"/>
  <c r="GT19" i="89" s="1"/>
  <c r="W20" i="89"/>
  <c r="E60" i="89"/>
  <c r="P16" i="89"/>
  <c r="P17" i="89"/>
  <c r="P18" i="89"/>
  <c r="R19" i="89"/>
  <c r="P20" i="89"/>
  <c r="E59" i="89"/>
  <c r="E58" i="76"/>
  <c r="E60" i="76"/>
  <c r="E57" i="82"/>
  <c r="E60" i="83"/>
  <c r="E60" i="85"/>
  <c r="E58" i="81"/>
  <c r="E58" i="74"/>
  <c r="E61" i="76"/>
  <c r="E62" i="76" s="1"/>
  <c r="E63" i="76" s="1"/>
  <c r="E64" i="76" s="1"/>
  <c r="E65" i="76" s="1"/>
  <c r="E66" i="76" s="1"/>
  <c r="E59" i="84"/>
  <c r="E61" i="84"/>
  <c r="E62" i="84" s="1"/>
  <c r="E63" i="84" s="1"/>
  <c r="E64" i="84" s="1"/>
  <c r="E65" i="84" s="1"/>
  <c r="E66" i="84" s="1"/>
  <c r="E58" i="85"/>
  <c r="W16" i="75"/>
  <c r="ID18" i="79"/>
  <c r="FY18" i="79" s="1"/>
  <c r="IQ18" i="79" s="1"/>
  <c r="W18" i="79"/>
  <c r="HU16" i="82"/>
  <c r="EY16" i="82" s="1"/>
  <c r="U16" i="82"/>
  <c r="HT18" i="85"/>
  <c r="U18" i="85"/>
  <c r="X16" i="75"/>
  <c r="O17" i="75"/>
  <c r="IG18" i="75"/>
  <c r="S18" i="75"/>
  <c r="P16" i="76"/>
  <c r="P17" i="76"/>
  <c r="V17" i="76"/>
  <c r="S18" i="76"/>
  <c r="R17" i="81"/>
  <c r="W17" i="81"/>
  <c r="HY17" i="84"/>
  <c r="V17" i="84"/>
  <c r="X17" i="88"/>
  <c r="S17" i="88"/>
  <c r="O16" i="75"/>
  <c r="S17" i="75"/>
  <c r="O18" i="75"/>
  <c r="X18" i="75"/>
  <c r="O18" i="76"/>
  <c r="HO16" i="77"/>
  <c r="EO16" i="77" s="1"/>
  <c r="T16" i="77"/>
  <c r="R17" i="77"/>
  <c r="W17" i="77"/>
  <c r="HY18" i="78"/>
  <c r="V18" i="78"/>
  <c r="P16" i="79"/>
  <c r="HQ17" i="79"/>
  <c r="T17" i="79"/>
  <c r="HU18" i="79"/>
  <c r="P18" i="79"/>
  <c r="U17" i="80"/>
  <c r="X16" i="81"/>
  <c r="S16" i="81"/>
  <c r="ID18" i="81"/>
  <c r="FY18" i="81" s="1"/>
  <c r="IQ18" i="81" s="1"/>
  <c r="R18" i="81"/>
  <c r="W18" i="81"/>
  <c r="HY18" i="84"/>
  <c r="FI18" i="84" s="1"/>
  <c r="Q18" i="84"/>
  <c r="V18" i="84"/>
  <c r="X17" i="86"/>
  <c r="U16" i="87"/>
  <c r="O16" i="74"/>
  <c r="IE18" i="74"/>
  <c r="GC18" i="74" s="1"/>
  <c r="X18" i="74"/>
  <c r="W18" i="74"/>
  <c r="T16" i="75"/>
  <c r="T17" i="75"/>
  <c r="S17" i="76"/>
  <c r="P18" i="76"/>
  <c r="V18" i="76"/>
  <c r="O16" i="77"/>
  <c r="HO17" i="77"/>
  <c r="EO17" i="77" s="1"/>
  <c r="O17" i="77"/>
  <c r="Q16" i="78"/>
  <c r="U16" i="79"/>
  <c r="O17" i="79"/>
  <c r="R18" i="79"/>
  <c r="S17" i="80"/>
  <c r="X17" i="80"/>
  <c r="HW17" i="82"/>
  <c r="FI17" i="82" s="1"/>
  <c r="V17" i="82"/>
  <c r="IE18" i="82"/>
  <c r="GC18" i="82" s="1"/>
  <c r="IM18" i="82" s="1"/>
  <c r="S18" i="82"/>
  <c r="HT17" i="85"/>
  <c r="U17" i="85"/>
  <c r="P17" i="85"/>
  <c r="S16" i="87"/>
  <c r="X16" i="87"/>
  <c r="Q17" i="74"/>
  <c r="V17" i="81"/>
  <c r="ID18" i="83"/>
  <c r="FY18" i="83" s="1"/>
  <c r="IQ18" i="83" s="1"/>
  <c r="R18" i="83"/>
  <c r="P18" i="85"/>
  <c r="T16" i="80"/>
  <c r="P16" i="85"/>
  <c r="P16" i="86"/>
  <c r="P17" i="86"/>
  <c r="P18" i="86"/>
  <c r="T17" i="87"/>
  <c r="T18" i="87"/>
  <c r="Q18" i="88"/>
  <c r="Q16" i="74"/>
  <c r="T17" i="74"/>
  <c r="Q18" i="74"/>
  <c r="Q17" i="78"/>
  <c r="Q16" i="79"/>
  <c r="O16" i="80"/>
  <c r="T18" i="80"/>
  <c r="V16" i="81"/>
  <c r="Q16" i="84"/>
  <c r="U16" i="85"/>
  <c r="U17" i="86"/>
  <c r="O17" i="87"/>
  <c r="O18" i="87"/>
  <c r="X18" i="87"/>
  <c r="V16" i="88"/>
  <c r="V18" i="88"/>
  <c r="IL16" i="83"/>
  <c r="FW16" i="83"/>
  <c r="HV18" i="81"/>
  <c r="FE18" i="81" s="1"/>
  <c r="IO18" i="81" s="1"/>
  <c r="U18" i="81"/>
  <c r="HU18" i="81"/>
  <c r="P18" i="81"/>
  <c r="HS18" i="81"/>
  <c r="EY18" i="81" s="1"/>
  <c r="IL18" i="81"/>
  <c r="FW18" i="81"/>
  <c r="W19" i="81"/>
  <c r="R19" i="81"/>
  <c r="HQ16" i="82"/>
  <c r="T16" i="82"/>
  <c r="HP16" i="82"/>
  <c r="O16" i="82"/>
  <c r="X16" i="82"/>
  <c r="S16" i="82"/>
  <c r="HR16" i="82"/>
  <c r="EU16" i="82" s="1"/>
  <c r="IN16" i="82" s="1"/>
  <c r="HV16" i="83"/>
  <c r="FE16" i="83" s="1"/>
  <c r="IO16" i="83" s="1"/>
  <c r="U16" i="83"/>
  <c r="HS16" i="83"/>
  <c r="EY16" i="83" s="1"/>
  <c r="E60" i="84"/>
  <c r="HU16" i="84"/>
  <c r="P16" i="84"/>
  <c r="HT16" i="84"/>
  <c r="HS16" i="84"/>
  <c r="EY16" i="84" s="1"/>
  <c r="U19" i="84"/>
  <c r="HP16" i="86"/>
  <c r="O16" i="86"/>
  <c r="HR16" i="86"/>
  <c r="EU16" i="86" s="1"/>
  <c r="IN16" i="86" s="1"/>
  <c r="HQ16" i="86"/>
  <c r="T16" i="86"/>
  <c r="HO16" i="86"/>
  <c r="EO16" i="86" s="1"/>
  <c r="S16" i="86"/>
  <c r="X16" i="86"/>
  <c r="E59" i="87"/>
  <c r="GG18" i="88"/>
  <c r="IM18" i="88"/>
  <c r="HR17" i="81"/>
  <c r="EU17" i="81" s="1"/>
  <c r="IN17" i="81" s="1"/>
  <c r="HQ17" i="81"/>
  <c r="T17" i="81"/>
  <c r="HT18" i="81"/>
  <c r="IA18" i="82"/>
  <c r="FY18" i="82"/>
  <c r="IQ18" i="82" s="1"/>
  <c r="R18" i="82"/>
  <c r="IB18" i="82"/>
  <c r="FS18" i="82"/>
  <c r="U20" i="82"/>
  <c r="P20" i="82"/>
  <c r="HZ16" i="83"/>
  <c r="FO16" i="83" s="1"/>
  <c r="IP16" i="83" s="1"/>
  <c r="Q16" i="83"/>
  <c r="HX16" i="83"/>
  <c r="HW16" i="83"/>
  <c r="P16" i="83"/>
  <c r="HT16" i="83"/>
  <c r="Q19" i="83"/>
  <c r="E58" i="83"/>
  <c r="HV16" i="84"/>
  <c r="FE16" i="84" s="1"/>
  <c r="IO16" i="84" s="1"/>
  <c r="V19" i="84"/>
  <c r="Q19" i="84"/>
  <c r="O20" i="84"/>
  <c r="HP16" i="85"/>
  <c r="O16" i="85"/>
  <c r="HR16" i="85"/>
  <c r="EU16" i="85" s="1"/>
  <c r="IN16" i="85" s="1"/>
  <c r="HQ16" i="85"/>
  <c r="S16" i="85"/>
  <c r="X16" i="85"/>
  <c r="HO16" i="85"/>
  <c r="EO16" i="85" s="1"/>
  <c r="E57" i="87"/>
  <c r="HW16" i="87"/>
  <c r="HX16" i="87"/>
  <c r="V16" i="87"/>
  <c r="HZ16" i="87"/>
  <c r="FO16" i="87" s="1"/>
  <c r="IP16" i="87" s="1"/>
  <c r="Q16" i="87"/>
  <c r="HY16" i="87"/>
  <c r="HQ16" i="88"/>
  <c r="T16" i="88"/>
  <c r="HR16" i="88"/>
  <c r="EU16" i="88" s="1"/>
  <c r="IN16" i="88" s="1"/>
  <c r="O16" i="88"/>
  <c r="HP16" i="88"/>
  <c r="HO16" i="88"/>
  <c r="X16" i="88"/>
  <c r="S16" i="88"/>
  <c r="R20" i="88"/>
  <c r="W20" i="88"/>
  <c r="E61" i="81"/>
  <c r="E62" i="81" s="1"/>
  <c r="E63" i="81" s="1"/>
  <c r="E64" i="81" s="1"/>
  <c r="E65" i="81" s="1"/>
  <c r="E66" i="81" s="1"/>
  <c r="HR16" i="81"/>
  <c r="HQ16" i="81"/>
  <c r="T16" i="81"/>
  <c r="HO16" i="81"/>
  <c r="EO16" i="81" s="1"/>
  <c r="HV17" i="81"/>
  <c r="FE17" i="81" s="1"/>
  <c r="IO17" i="81" s="1"/>
  <c r="U17" i="81"/>
  <c r="HU17" i="81"/>
  <c r="EY17" i="81" s="1"/>
  <c r="P17" i="81"/>
  <c r="O17" i="81"/>
  <c r="HO17" i="81"/>
  <c r="EO17" i="81" s="1"/>
  <c r="U20" i="81"/>
  <c r="Z20" i="81" s="1"/>
  <c r="GT20" i="81" s="1"/>
  <c r="P20" i="81"/>
  <c r="O20" i="81"/>
  <c r="HU16" i="83"/>
  <c r="HR17" i="83"/>
  <c r="HP17" i="83"/>
  <c r="HO17" i="83"/>
  <c r="EO17" i="83" s="1"/>
  <c r="T17" i="83"/>
  <c r="O17" i="83"/>
  <c r="T20" i="83"/>
  <c r="HQ17" i="84"/>
  <c r="T17" i="84"/>
  <c r="HR17" i="84"/>
  <c r="EU17" i="84" s="1"/>
  <c r="IN17" i="84" s="1"/>
  <c r="HP17" i="84"/>
  <c r="IC18" i="84"/>
  <c r="IB18" i="84"/>
  <c r="IA18" i="84"/>
  <c r="FS18" i="84" s="1"/>
  <c r="ID18" i="84"/>
  <c r="FY18" i="84" s="1"/>
  <c r="IQ18" i="84" s="1"/>
  <c r="V19" i="85"/>
  <c r="Z19" i="85" s="1"/>
  <c r="GT19" i="85" s="1"/>
  <c r="Q19" i="86"/>
  <c r="V19" i="86"/>
  <c r="HV16" i="81"/>
  <c r="FE16" i="81" s="1"/>
  <c r="IO16" i="81" s="1"/>
  <c r="U16" i="81"/>
  <c r="HU16" i="81"/>
  <c r="P16" i="81"/>
  <c r="O16" i="81"/>
  <c r="HP16" i="81"/>
  <c r="HP17" i="81"/>
  <c r="HR18" i="81"/>
  <c r="EU18" i="81" s="1"/>
  <c r="IN18" i="81" s="1"/>
  <c r="HQ18" i="81"/>
  <c r="T18" i="81"/>
  <c r="IH18" i="81"/>
  <c r="GI18" i="81"/>
  <c r="IR18" i="81" s="1"/>
  <c r="IG18" i="81"/>
  <c r="X18" i="81"/>
  <c r="HP18" i="81"/>
  <c r="IE18" i="81"/>
  <c r="GC18" i="81" s="1"/>
  <c r="Q19" i="81"/>
  <c r="IC16" i="82"/>
  <c r="IB16" i="82"/>
  <c r="W16" i="82"/>
  <c r="HO16" i="82"/>
  <c r="EO16" i="82" s="1"/>
  <c r="ID16" i="82"/>
  <c r="FY16" i="82" s="1"/>
  <c r="IQ16" i="82" s="1"/>
  <c r="HO17" i="82"/>
  <c r="EO17" i="82" s="1"/>
  <c r="HR17" i="82"/>
  <c r="T17" i="82"/>
  <c r="HQ17" i="82"/>
  <c r="O17" i="82"/>
  <c r="X17" i="82"/>
  <c r="S17" i="82"/>
  <c r="HP17" i="82"/>
  <c r="W18" i="82"/>
  <c r="IC18" i="82"/>
  <c r="U19" i="82"/>
  <c r="HY16" i="83"/>
  <c r="II16" i="83"/>
  <c r="HR18" i="83"/>
  <c r="HQ18" i="83"/>
  <c r="HP18" i="83"/>
  <c r="T18" i="83"/>
  <c r="O18" i="83"/>
  <c r="IH18" i="83"/>
  <c r="GI18" i="83"/>
  <c r="IR18" i="83" s="1"/>
  <c r="IG18" i="83"/>
  <c r="IF18" i="83"/>
  <c r="X18" i="83"/>
  <c r="HO18" i="83"/>
  <c r="IE18" i="83"/>
  <c r="GC18" i="83" s="1"/>
  <c r="U20" i="83"/>
  <c r="P20" i="83"/>
  <c r="HQ16" i="84"/>
  <c r="T16" i="84"/>
  <c r="HO16" i="84"/>
  <c r="EO16" i="84" s="1"/>
  <c r="U16" i="84"/>
  <c r="HP16" i="84"/>
  <c r="HU17" i="84"/>
  <c r="P17" i="84"/>
  <c r="HS17" i="84"/>
  <c r="EY17" i="84" s="1"/>
  <c r="O17" i="84"/>
  <c r="HT17" i="84"/>
  <c r="W18" i="84"/>
  <c r="S20" i="84"/>
  <c r="T16" i="85"/>
  <c r="HX17" i="85"/>
  <c r="HZ17" i="85"/>
  <c r="FO17" i="85" s="1"/>
  <c r="IP17" i="85" s="1"/>
  <c r="HY17" i="85"/>
  <c r="Q17" i="85"/>
  <c r="IB18" i="85"/>
  <c r="W18" i="85"/>
  <c r="ID18" i="85"/>
  <c r="IC18" i="85"/>
  <c r="FY18" i="85"/>
  <c r="IQ18" i="85" s="1"/>
  <c r="IA18" i="85"/>
  <c r="FS18" i="85" s="1"/>
  <c r="HP18" i="86"/>
  <c r="O18" i="86"/>
  <c r="HR18" i="86"/>
  <c r="EU18" i="86" s="1"/>
  <c r="IN18" i="86" s="1"/>
  <c r="HQ18" i="86"/>
  <c r="HO18" i="86"/>
  <c r="EO18" i="86" s="1"/>
  <c r="IF18" i="86"/>
  <c r="S18" i="86"/>
  <c r="IH18" i="86"/>
  <c r="IE18" i="86"/>
  <c r="GC18" i="86" s="1"/>
  <c r="GI18" i="86"/>
  <c r="IR18" i="86" s="1"/>
  <c r="X18" i="86"/>
  <c r="HW17" i="87"/>
  <c r="FI17" i="87" s="1"/>
  <c r="V17" i="87"/>
  <c r="HX17" i="87"/>
  <c r="HZ17" i="87"/>
  <c r="Q17" i="87"/>
  <c r="IC18" i="88"/>
  <c r="IA18" i="88"/>
  <c r="FS18" i="88" s="1"/>
  <c r="IB18" i="88"/>
  <c r="ID18" i="88"/>
  <c r="FY18" i="88" s="1"/>
  <c r="IQ18" i="88" s="1"/>
  <c r="W18" i="88"/>
  <c r="R18" i="88"/>
  <c r="R17" i="85"/>
  <c r="HP18" i="85"/>
  <c r="O18" i="85"/>
  <c r="IF18" i="85"/>
  <c r="GC18" i="85"/>
  <c r="S18" i="85"/>
  <c r="T18" i="85"/>
  <c r="HQ18" i="85"/>
  <c r="EO18" i="85" s="1"/>
  <c r="IG18" i="85"/>
  <c r="Q20" i="85"/>
  <c r="HX17" i="86"/>
  <c r="HZ17" i="86"/>
  <c r="Q17" i="86"/>
  <c r="HY17" i="86"/>
  <c r="FI17" i="86" s="1"/>
  <c r="S20" i="86"/>
  <c r="X20" i="86"/>
  <c r="IA16" i="87"/>
  <c r="IC16" i="87"/>
  <c r="R16" i="87"/>
  <c r="W16" i="87"/>
  <c r="FS16" i="87"/>
  <c r="IB16" i="87"/>
  <c r="W17" i="87"/>
  <c r="IA18" i="87"/>
  <c r="FS18" i="87" s="1"/>
  <c r="FY18" i="87"/>
  <c r="IQ18" i="87" s="1"/>
  <c r="R18" i="87"/>
  <c r="IB18" i="87"/>
  <c r="W18" i="87"/>
  <c r="P19" i="88"/>
  <c r="U19" i="88"/>
  <c r="T20" i="88"/>
  <c r="O20" i="88"/>
  <c r="HY16" i="81"/>
  <c r="HY17" i="81"/>
  <c r="HY18" i="81"/>
  <c r="HT16" i="82"/>
  <c r="HS17" i="82"/>
  <c r="EY17" i="82" s="1"/>
  <c r="HV17" i="82"/>
  <c r="FE17" i="82" s="1"/>
  <c r="IO17" i="82" s="1"/>
  <c r="HS18" i="82"/>
  <c r="EY18" i="82" s="1"/>
  <c r="HU18" i="82"/>
  <c r="E61" i="82"/>
  <c r="E62" i="82" s="1"/>
  <c r="E63" i="82" s="1"/>
  <c r="E64" i="82" s="1"/>
  <c r="E65" i="82" s="1"/>
  <c r="E66" i="82" s="1"/>
  <c r="E57" i="83"/>
  <c r="HV17" i="83"/>
  <c r="U17" i="83"/>
  <c r="HT17" i="83"/>
  <c r="HV18" i="83"/>
  <c r="FE18" i="83" s="1"/>
  <c r="IO18" i="83" s="1"/>
  <c r="U18" i="83"/>
  <c r="HU18" i="83"/>
  <c r="R19" i="83"/>
  <c r="V20" i="83"/>
  <c r="HQ18" i="84"/>
  <c r="T18" i="84"/>
  <c r="IG18" i="84"/>
  <c r="X18" i="84"/>
  <c r="S18" i="84"/>
  <c r="HP18" i="84"/>
  <c r="IF18" i="84"/>
  <c r="W19" i="84"/>
  <c r="HX16" i="85"/>
  <c r="FO16" i="85"/>
  <c r="IP16" i="85" s="1"/>
  <c r="Q16" i="85"/>
  <c r="V16" i="85"/>
  <c r="HW16" i="85"/>
  <c r="FI16" i="85" s="1"/>
  <c r="HP17" i="85"/>
  <c r="O17" i="85"/>
  <c r="T17" i="85"/>
  <c r="HO17" i="85"/>
  <c r="HR18" i="85"/>
  <c r="EU18" i="85" s="1"/>
  <c r="IN18" i="85" s="1"/>
  <c r="IH18" i="85"/>
  <c r="GI18" i="85" s="1"/>
  <c r="IR18" i="85" s="1"/>
  <c r="S19" i="85"/>
  <c r="R20" i="85"/>
  <c r="R17" i="86"/>
  <c r="HX18" i="86"/>
  <c r="FO18" i="86"/>
  <c r="IP18" i="86" s="1"/>
  <c r="HW18" i="86"/>
  <c r="Q18" i="86"/>
  <c r="V18" i="86"/>
  <c r="E60" i="87"/>
  <c r="ID16" i="87"/>
  <c r="FY16" i="87" s="1"/>
  <c r="IQ16" i="87" s="1"/>
  <c r="HQ17" i="88"/>
  <c r="T17" i="88"/>
  <c r="HR17" i="88"/>
  <c r="HP17" i="88"/>
  <c r="EO17" i="88"/>
  <c r="HU18" i="88"/>
  <c r="P18" i="88"/>
  <c r="HV18" i="88"/>
  <c r="FE18" i="88" s="1"/>
  <c r="IO18" i="88" s="1"/>
  <c r="HS18" i="88"/>
  <c r="U18" i="88"/>
  <c r="HT18" i="88"/>
  <c r="Q16" i="81"/>
  <c r="Q17" i="81"/>
  <c r="Q18" i="81"/>
  <c r="P16" i="82"/>
  <c r="P17" i="82"/>
  <c r="HX17" i="82"/>
  <c r="FO17" i="82" s="1"/>
  <c r="IP17" i="82" s="1"/>
  <c r="HW18" i="82"/>
  <c r="FI18" i="82" s="1"/>
  <c r="V18" i="82"/>
  <c r="P18" i="82"/>
  <c r="U18" i="82"/>
  <c r="HV18" i="82"/>
  <c r="FE18" i="82" s="1"/>
  <c r="IO18" i="82" s="1"/>
  <c r="R19" i="82"/>
  <c r="Q20" i="82"/>
  <c r="W20" i="82"/>
  <c r="HR16" i="83"/>
  <c r="EU16" i="83" s="1"/>
  <c r="IN16" i="83" s="1"/>
  <c r="S16" i="83"/>
  <c r="HZ17" i="83"/>
  <c r="FO17" i="83" s="1"/>
  <c r="IP17" i="83" s="1"/>
  <c r="FI17" i="83"/>
  <c r="Q17" i="83"/>
  <c r="P17" i="83"/>
  <c r="V17" i="83"/>
  <c r="FE17" i="83"/>
  <c r="IO17" i="83" s="1"/>
  <c r="HU17" i="83"/>
  <c r="EY17" i="83" s="1"/>
  <c r="HZ18" i="83"/>
  <c r="FO18" i="83" s="1"/>
  <c r="IP18" i="83" s="1"/>
  <c r="Q18" i="83"/>
  <c r="P18" i="83"/>
  <c r="V18" i="83"/>
  <c r="HW18" i="83"/>
  <c r="FI18" i="83" s="1"/>
  <c r="T19" i="83"/>
  <c r="IC16" i="84"/>
  <c r="R16" i="84"/>
  <c r="W16" i="84"/>
  <c r="R17" i="84"/>
  <c r="HU18" i="84"/>
  <c r="FE18" i="84"/>
  <c r="IO18" i="84" s="1"/>
  <c r="P18" i="84"/>
  <c r="O18" i="84"/>
  <c r="U18" i="84"/>
  <c r="EO18" i="84"/>
  <c r="HR18" i="84"/>
  <c r="IH18" i="84"/>
  <c r="GI18" i="84" s="1"/>
  <c r="IR18" i="84" s="1"/>
  <c r="R20" i="84"/>
  <c r="IB16" i="85"/>
  <c r="W16" i="85"/>
  <c r="R16" i="85"/>
  <c r="FS16" i="85"/>
  <c r="HY16" i="85"/>
  <c r="ID16" i="85"/>
  <c r="FY16" i="85" s="1"/>
  <c r="IQ16" i="85" s="1"/>
  <c r="HQ17" i="85"/>
  <c r="HX18" i="85"/>
  <c r="FO18" i="85"/>
  <c r="IP18" i="85" s="1"/>
  <c r="Q18" i="85"/>
  <c r="V18" i="85"/>
  <c r="HY18" i="85"/>
  <c r="O19" i="85"/>
  <c r="Y19" i="85" s="1"/>
  <c r="T20" i="85"/>
  <c r="IB16" i="86"/>
  <c r="W16" i="86"/>
  <c r="IC16" i="86"/>
  <c r="IB18" i="86"/>
  <c r="W18" i="86"/>
  <c r="IC18" i="86"/>
  <c r="FY18" i="86"/>
  <c r="IQ18" i="86" s="1"/>
  <c r="R18" i="86"/>
  <c r="HY18" i="86"/>
  <c r="FI18" i="86" s="1"/>
  <c r="HS16" i="87"/>
  <c r="EY16" i="87" s="1"/>
  <c r="HT16" i="87"/>
  <c r="HV16" i="87"/>
  <c r="FE16" i="87" s="1"/>
  <c r="IO16" i="87" s="1"/>
  <c r="IC18" i="87"/>
  <c r="T19" i="87"/>
  <c r="O19" i="87"/>
  <c r="IC16" i="88"/>
  <c r="FS16" i="88" s="1"/>
  <c r="ID16" i="88"/>
  <c r="FY16" i="88" s="1"/>
  <c r="IQ16" i="88" s="1"/>
  <c r="R16" i="88"/>
  <c r="HU17" i="88"/>
  <c r="P17" i="88"/>
  <c r="HT17" i="88"/>
  <c r="O17" i="88"/>
  <c r="EY17" i="88"/>
  <c r="HV17" i="88"/>
  <c r="S20" i="88"/>
  <c r="HX16" i="86"/>
  <c r="FO16" i="86"/>
  <c r="IP16" i="86" s="1"/>
  <c r="Q16" i="86"/>
  <c r="V16" i="86"/>
  <c r="HW16" i="86"/>
  <c r="FI16" i="86" s="1"/>
  <c r="HP17" i="86"/>
  <c r="EU17" i="86" s="1"/>
  <c r="IN17" i="86" s="1"/>
  <c r="O17" i="86"/>
  <c r="T17" i="86"/>
  <c r="HO17" i="86"/>
  <c r="EO17" i="86" s="1"/>
  <c r="S19" i="86"/>
  <c r="R20" i="86"/>
  <c r="HS17" i="87"/>
  <c r="EY17" i="87" s="1"/>
  <c r="HV17" i="87"/>
  <c r="FE17" i="87" s="1"/>
  <c r="IO17" i="87" s="1"/>
  <c r="HS18" i="87"/>
  <c r="EY18" i="87" s="1"/>
  <c r="HV18" i="87"/>
  <c r="U18" i="87"/>
  <c r="P18" i="87"/>
  <c r="HT18" i="87"/>
  <c r="U20" i="87"/>
  <c r="P20" i="87"/>
  <c r="E60" i="88"/>
  <c r="HW18" i="87"/>
  <c r="FI18" i="87" s="1"/>
  <c r="V18" i="87"/>
  <c r="R19" i="87"/>
  <c r="HU16" i="88"/>
  <c r="P16" i="88"/>
  <c r="HS16" i="88"/>
  <c r="U16" i="88"/>
  <c r="R17" i="88"/>
  <c r="V19" i="88"/>
  <c r="Q19" i="88"/>
  <c r="U20" i="88"/>
  <c r="V20" i="87"/>
  <c r="HQ18" i="88"/>
  <c r="T18" i="88"/>
  <c r="IG18" i="88"/>
  <c r="X18" i="88"/>
  <c r="S18" i="88"/>
  <c r="HP18" i="88"/>
  <c r="IF18" i="88"/>
  <c r="W19" i="88"/>
  <c r="IL16" i="75"/>
  <c r="FW16" i="75"/>
  <c r="IL18" i="79"/>
  <c r="FW18" i="79"/>
  <c r="HT16" i="75"/>
  <c r="HT18" i="75"/>
  <c r="HP16" i="76"/>
  <c r="O16" i="76"/>
  <c r="T16" i="76"/>
  <c r="HS16" i="77"/>
  <c r="EY16" i="77" s="1"/>
  <c r="HV16" i="77"/>
  <c r="U16" i="77"/>
  <c r="HS16" i="78"/>
  <c r="EY16" i="78" s="1"/>
  <c r="O20" i="79"/>
  <c r="T20" i="79"/>
  <c r="X20" i="79"/>
  <c r="P16" i="77"/>
  <c r="HT16" i="77"/>
  <c r="X16" i="79"/>
  <c r="S16" i="79"/>
  <c r="HW16" i="80"/>
  <c r="V16" i="80"/>
  <c r="HY16" i="80"/>
  <c r="HX16" i="80"/>
  <c r="Q16" i="80"/>
  <c r="HZ16" i="80"/>
  <c r="FO16" i="80" s="1"/>
  <c r="IP16" i="80" s="1"/>
  <c r="HV16" i="75"/>
  <c r="FE16" i="75" s="1"/>
  <c r="IO16" i="75" s="1"/>
  <c r="ID16" i="75"/>
  <c r="HT17" i="75"/>
  <c r="W19" i="75"/>
  <c r="X16" i="76"/>
  <c r="HR16" i="76"/>
  <c r="HW17" i="77"/>
  <c r="FI17" i="77" s="1"/>
  <c r="V17" i="77"/>
  <c r="HZ17" i="77"/>
  <c r="FO17" i="77" s="1"/>
  <c r="IP17" i="77" s="1"/>
  <c r="Q17" i="77"/>
  <c r="HY17" i="77"/>
  <c r="HZ18" i="77"/>
  <c r="FO18" i="77" s="1"/>
  <c r="IP18" i="77" s="1"/>
  <c r="HX18" i="77"/>
  <c r="HW18" i="77"/>
  <c r="FI18" i="77" s="1"/>
  <c r="V18" i="77"/>
  <c r="Q18" i="77"/>
  <c r="R19" i="77"/>
  <c r="E61" i="78"/>
  <c r="E62" i="78" s="1"/>
  <c r="E63" i="78" s="1"/>
  <c r="E64" i="78" s="1"/>
  <c r="E65" i="78" s="1"/>
  <c r="E66" i="78" s="1"/>
  <c r="HU16" i="78"/>
  <c r="P16" i="78"/>
  <c r="HV16" i="78"/>
  <c r="FE16" i="78" s="1"/>
  <c r="IO16" i="78" s="1"/>
  <c r="HT16" i="78"/>
  <c r="E60" i="79"/>
  <c r="IC16" i="79"/>
  <c r="IB16" i="79"/>
  <c r="W16" i="79"/>
  <c r="ID16" i="79"/>
  <c r="FY16" i="79" s="1"/>
  <c r="IQ16" i="79" s="1"/>
  <c r="R16" i="79"/>
  <c r="HV17" i="79"/>
  <c r="FE17" i="79" s="1"/>
  <c r="IO17" i="79" s="1"/>
  <c r="U17" i="79"/>
  <c r="HS17" i="79"/>
  <c r="HU17" i="79"/>
  <c r="HT17" i="79"/>
  <c r="P17" i="79"/>
  <c r="V20" i="80"/>
  <c r="Q20" i="80"/>
  <c r="P16" i="75"/>
  <c r="HU16" i="75"/>
  <c r="HY16" i="75"/>
  <c r="FI16" i="75" s="1"/>
  <c r="P17" i="75"/>
  <c r="HU17" i="75"/>
  <c r="EY17" i="75" s="1"/>
  <c r="HY17" i="75"/>
  <c r="FI17" i="75" s="1"/>
  <c r="P18" i="75"/>
  <c r="HU18" i="75"/>
  <c r="HY18" i="75"/>
  <c r="FI18" i="75" s="1"/>
  <c r="E60" i="77"/>
  <c r="HW16" i="77"/>
  <c r="FI16" i="77" s="1"/>
  <c r="V16" i="77"/>
  <c r="HZ16" i="77"/>
  <c r="FO16" i="77" s="1"/>
  <c r="IP16" i="77" s="1"/>
  <c r="Q16" i="77"/>
  <c r="ES18" i="77"/>
  <c r="ID18" i="78"/>
  <c r="IC18" i="78"/>
  <c r="IB18" i="78"/>
  <c r="FY18" i="78" s="1"/>
  <c r="IQ18" i="78" s="1"/>
  <c r="IA18" i="78"/>
  <c r="FS18" i="78" s="1"/>
  <c r="HQ16" i="79"/>
  <c r="T16" i="79"/>
  <c r="HP16" i="79"/>
  <c r="O16" i="79"/>
  <c r="HR16" i="79"/>
  <c r="EU16" i="79" s="1"/>
  <c r="IN16" i="79" s="1"/>
  <c r="HO16" i="79"/>
  <c r="EO16" i="79" s="1"/>
  <c r="HZ18" i="79"/>
  <c r="Q18" i="79"/>
  <c r="HY18" i="79"/>
  <c r="HX18" i="79"/>
  <c r="HW18" i="79"/>
  <c r="V18" i="79"/>
  <c r="P19" i="80"/>
  <c r="U19" i="80"/>
  <c r="Q16" i="75"/>
  <c r="U16" i="75"/>
  <c r="HZ16" i="75"/>
  <c r="FO16" i="75" s="1"/>
  <c r="IP16" i="75" s="1"/>
  <c r="Q17" i="75"/>
  <c r="U17" i="75"/>
  <c r="HV17" i="75"/>
  <c r="FE17" i="75" s="1"/>
  <c r="IO17" i="75" s="1"/>
  <c r="HZ17" i="75"/>
  <c r="FO17" i="75" s="1"/>
  <c r="IP17" i="75" s="1"/>
  <c r="Q18" i="75"/>
  <c r="U18" i="75"/>
  <c r="HV18" i="75"/>
  <c r="FE18" i="75" s="1"/>
  <c r="IO18" i="75" s="1"/>
  <c r="HZ18" i="75"/>
  <c r="FO18" i="75" s="1"/>
  <c r="IP18" i="75" s="1"/>
  <c r="S20" i="75"/>
  <c r="HO16" i="76"/>
  <c r="E59" i="77"/>
  <c r="HU16" i="77"/>
  <c r="HY18" i="77"/>
  <c r="HR18" i="78"/>
  <c r="HQ18" i="78"/>
  <c r="T18" i="78"/>
  <c r="HP18" i="78"/>
  <c r="HO18" i="78"/>
  <c r="EO18" i="78" s="1"/>
  <c r="O18" i="78"/>
  <c r="IH18" i="78"/>
  <c r="GI18" i="78" s="1"/>
  <c r="IR18" i="78" s="1"/>
  <c r="IG18" i="78"/>
  <c r="X18" i="78"/>
  <c r="IE18" i="78"/>
  <c r="GC18" i="78" s="1"/>
  <c r="IF18" i="78"/>
  <c r="T20" i="78"/>
  <c r="O20" i="78"/>
  <c r="R16" i="75"/>
  <c r="V16" i="75"/>
  <c r="EY16" i="75"/>
  <c r="FY16" i="75"/>
  <c r="IQ16" i="75" s="1"/>
  <c r="V17" i="75"/>
  <c r="V18" i="75"/>
  <c r="EY18" i="75"/>
  <c r="IE18" i="75"/>
  <c r="GC18" i="75" s="1"/>
  <c r="O20" i="75"/>
  <c r="U20" i="75"/>
  <c r="EU16" i="76"/>
  <c r="IN16" i="76" s="1"/>
  <c r="HQ16" i="76"/>
  <c r="HX16" i="77"/>
  <c r="HS17" i="77"/>
  <c r="EY17" i="77" s="1"/>
  <c r="HV17" i="77"/>
  <c r="U17" i="77"/>
  <c r="HX17" i="77"/>
  <c r="HV18" i="77"/>
  <c r="U18" i="77"/>
  <c r="HS18" i="77"/>
  <c r="EY18" i="77" s="1"/>
  <c r="P20" i="77"/>
  <c r="E59" i="78"/>
  <c r="HU17" i="78"/>
  <c r="P17" i="78"/>
  <c r="HT17" i="78"/>
  <c r="HS17" i="78"/>
  <c r="W18" i="78"/>
  <c r="W19" i="78"/>
  <c r="R19" i="78"/>
  <c r="IA16" i="79"/>
  <c r="FS16" i="79" s="1"/>
  <c r="U19" i="79"/>
  <c r="P19" i="79"/>
  <c r="ID16" i="77"/>
  <c r="FY16" i="77" s="1"/>
  <c r="IQ16" i="77" s="1"/>
  <c r="FY18" i="77"/>
  <c r="IQ18" i="77" s="1"/>
  <c r="IB18" i="77"/>
  <c r="T19" i="77"/>
  <c r="IC16" i="78"/>
  <c r="R16" i="78"/>
  <c r="W16" i="78"/>
  <c r="R17" i="78"/>
  <c r="HV18" i="78"/>
  <c r="FE18" i="78" s="1"/>
  <c r="IO18" i="78" s="1"/>
  <c r="HU18" i="78"/>
  <c r="P18" i="78"/>
  <c r="U18" i="78"/>
  <c r="U20" i="78"/>
  <c r="P20" i="78"/>
  <c r="HZ17" i="79"/>
  <c r="Q17" i="79"/>
  <c r="HX17" i="79"/>
  <c r="HW17" i="79"/>
  <c r="FI17" i="79" s="1"/>
  <c r="II18" i="80"/>
  <c r="IM18" i="80"/>
  <c r="GG18" i="80"/>
  <c r="R16" i="77"/>
  <c r="HR18" i="77"/>
  <c r="IH18" i="77"/>
  <c r="GI18" i="77"/>
  <c r="IR18" i="77" s="1"/>
  <c r="R18" i="77"/>
  <c r="W18" i="77"/>
  <c r="GC18" i="77"/>
  <c r="IC18" i="77"/>
  <c r="S20" i="77"/>
  <c r="HQ16" i="78"/>
  <c r="T16" i="78"/>
  <c r="S16" i="78"/>
  <c r="HP16" i="78"/>
  <c r="IA16" i="78"/>
  <c r="FS16" i="78" s="1"/>
  <c r="HQ17" i="78"/>
  <c r="T17" i="78"/>
  <c r="S17" i="78"/>
  <c r="HO17" i="78"/>
  <c r="EO17" i="78" s="1"/>
  <c r="HV18" i="79"/>
  <c r="U18" i="79"/>
  <c r="HT18" i="79"/>
  <c r="HS18" i="79"/>
  <c r="EY18" i="79" s="1"/>
  <c r="HS16" i="80"/>
  <c r="HT16" i="80"/>
  <c r="HU16" i="80"/>
  <c r="U16" i="80"/>
  <c r="E61" i="80"/>
  <c r="E62" i="80" s="1"/>
  <c r="E63" i="80" s="1"/>
  <c r="E64" i="80" s="1"/>
  <c r="E65" i="80" s="1"/>
  <c r="E66" i="80" s="1"/>
  <c r="FO16" i="79"/>
  <c r="IP16" i="79" s="1"/>
  <c r="HX16" i="79"/>
  <c r="V19" i="79"/>
  <c r="E60" i="80"/>
  <c r="HW17" i="80"/>
  <c r="V17" i="80"/>
  <c r="HY17" i="80"/>
  <c r="HX17" i="80"/>
  <c r="HZ17" i="80"/>
  <c r="FO17" i="80" s="1"/>
  <c r="IP17" i="80" s="1"/>
  <c r="HS18" i="80"/>
  <c r="EY18" i="80" s="1"/>
  <c r="HV18" i="80"/>
  <c r="FE18" i="80" s="1"/>
  <c r="IO18" i="80" s="1"/>
  <c r="U18" i="80"/>
  <c r="P18" i="80"/>
  <c r="HR17" i="79"/>
  <c r="EU17" i="79" s="1"/>
  <c r="IN17" i="79" s="1"/>
  <c r="S17" i="79"/>
  <c r="HR18" i="79"/>
  <c r="EU18" i="79" s="1"/>
  <c r="IN18" i="79" s="1"/>
  <c r="IH18" i="79"/>
  <c r="GI18" i="79"/>
  <c r="IR18" i="79" s="1"/>
  <c r="S18" i="79"/>
  <c r="X18" i="79"/>
  <c r="HO18" i="79"/>
  <c r="EO18" i="79" s="1"/>
  <c r="IE18" i="79"/>
  <c r="GC18" i="79" s="1"/>
  <c r="Q17" i="80"/>
  <c r="W17" i="80"/>
  <c r="Q20" i="79"/>
  <c r="IA16" i="80"/>
  <c r="R16" i="80"/>
  <c r="W16" i="80"/>
  <c r="IC16" i="80"/>
  <c r="HW18" i="80"/>
  <c r="FI18" i="80" s="1"/>
  <c r="V18" i="80"/>
  <c r="R19" i="80"/>
  <c r="W20" i="80"/>
  <c r="HS17" i="80"/>
  <c r="EY17" i="80" s="1"/>
  <c r="HT17" i="80"/>
  <c r="IA18" i="80"/>
  <c r="FY18" i="80"/>
  <c r="IQ18" i="80" s="1"/>
  <c r="R18" i="80"/>
  <c r="W18" i="80"/>
  <c r="IC18" i="80"/>
  <c r="S19" i="80"/>
  <c r="FM16" i="74"/>
  <c r="IK16" i="74"/>
  <c r="II17" i="74"/>
  <c r="ES17" i="74"/>
  <c r="U20" i="74"/>
  <c r="P20" i="74"/>
  <c r="E59" i="74"/>
  <c r="E60" i="74"/>
  <c r="W17" i="74"/>
  <c r="HS18" i="74"/>
  <c r="EY18" i="74" s="1"/>
  <c r="HV18" i="74"/>
  <c r="FE18" i="74" s="1"/>
  <c r="IO18" i="74" s="1"/>
  <c r="U18" i="74"/>
  <c r="HU18" i="74"/>
  <c r="P18" i="74"/>
  <c r="W19" i="74"/>
  <c r="R19" i="74"/>
  <c r="HS16" i="74"/>
  <c r="HU16" i="74"/>
  <c r="P16" i="74"/>
  <c r="U16" i="74"/>
  <c r="HV16" i="74"/>
  <c r="FE16" i="74" s="1"/>
  <c r="IO16" i="74" s="1"/>
  <c r="E61" i="74"/>
  <c r="E62" i="74" s="1"/>
  <c r="E63" i="74" s="1"/>
  <c r="E64" i="74" s="1"/>
  <c r="E65" i="74" s="1"/>
  <c r="E66" i="74" s="1"/>
  <c r="IA16" i="74"/>
  <c r="FS16" i="74" s="1"/>
  <c r="R16" i="74"/>
  <c r="IC16" i="74"/>
  <c r="HS17" i="74"/>
  <c r="EY17" i="74" s="1"/>
  <c r="HU17" i="74"/>
  <c r="FE17" i="74"/>
  <c r="IO17" i="74" s="1"/>
  <c r="P17" i="74"/>
  <c r="U17" i="74"/>
  <c r="HY16" i="74"/>
  <c r="HY17" i="74"/>
  <c r="FS18" i="74"/>
  <c r="HQ18" i="74"/>
  <c r="HY18" i="74"/>
  <c r="FI18" i="74" s="1"/>
  <c r="IC18" i="74"/>
  <c r="IG18" i="74"/>
  <c r="ID18" i="74"/>
  <c r="V16" i="74"/>
  <c r="V17" i="74"/>
  <c r="R18" i="74"/>
  <c r="V18" i="74"/>
  <c r="FY18" i="74"/>
  <c r="IQ18" i="74" s="1"/>
  <c r="T16" i="67"/>
  <c r="X16" i="67"/>
  <c r="U17" i="67"/>
  <c r="Y17" i="67"/>
  <c r="IE18" i="71"/>
  <c r="GC18" i="71"/>
  <c r="IC18" i="71"/>
  <c r="R18" i="71"/>
  <c r="IA18" i="71"/>
  <c r="FS18" i="71" s="1"/>
  <c r="V18" i="71"/>
  <c r="HZ18" i="71"/>
  <c r="Q18" i="71"/>
  <c r="HW18" i="71"/>
  <c r="FI18" i="71" s="1"/>
  <c r="HX18" i="71"/>
  <c r="HT18" i="71"/>
  <c r="HU18" i="71"/>
  <c r="HP18" i="71"/>
  <c r="HQ18" i="71"/>
  <c r="EO18" i="71" s="1"/>
  <c r="HR18" i="71"/>
  <c r="HZ17" i="71"/>
  <c r="FO17" i="71" s="1"/>
  <c r="IP17" i="71" s="1"/>
  <c r="V17" i="71"/>
  <c r="HW17" i="71"/>
  <c r="FI17" i="71" s="1"/>
  <c r="HT17" i="71"/>
  <c r="U17" i="71"/>
  <c r="HV17" i="71"/>
  <c r="HO17" i="71"/>
  <c r="EO17" i="71" s="1"/>
  <c r="HP17" i="71"/>
  <c r="EU17" i="71" s="1"/>
  <c r="IN17" i="71" s="1"/>
  <c r="HQ17" i="71"/>
  <c r="FS16" i="71"/>
  <c r="IB16" i="71"/>
  <c r="V16" i="71"/>
  <c r="HW16" i="71"/>
  <c r="FI16" i="71" s="1"/>
  <c r="HY16" i="71"/>
  <c r="Q16" i="71"/>
  <c r="HZ16" i="71"/>
  <c r="FO16" i="71" s="1"/>
  <c r="IP16" i="71" s="1"/>
  <c r="HS16" i="71"/>
  <c r="EY16" i="71" s="1"/>
  <c r="U16" i="71"/>
  <c r="HT16" i="71"/>
  <c r="HU16" i="71"/>
  <c r="HV16" i="71"/>
  <c r="FE16" i="71" s="1"/>
  <c r="IO16" i="71" s="1"/>
  <c r="HO16" i="71"/>
  <c r="EO16" i="71" s="1"/>
  <c r="V17" i="72"/>
  <c r="HZ17" i="72"/>
  <c r="FO17" i="72" s="1"/>
  <c r="IP17" i="72" s="1"/>
  <c r="V16" i="72"/>
  <c r="HX16" i="72"/>
  <c r="HY16" i="72"/>
  <c r="FI16" i="72" s="1"/>
  <c r="Q16" i="72"/>
  <c r="HT16" i="72"/>
  <c r="U16" i="72"/>
  <c r="HU16" i="72"/>
  <c r="HV16" i="72"/>
  <c r="FE16" i="72" s="1"/>
  <c r="IO16" i="72" s="1"/>
  <c r="HS16" i="72"/>
  <c r="HO17" i="72"/>
  <c r="HP17" i="72"/>
  <c r="EU17" i="72" s="1"/>
  <c r="IN17" i="72" s="1"/>
  <c r="HQ17" i="72"/>
  <c r="HV18" i="72"/>
  <c r="FE18" i="72" s="1"/>
  <c r="IO18" i="72" s="1"/>
  <c r="U18" i="72"/>
  <c r="HS18" i="72"/>
  <c r="HT18" i="72"/>
  <c r="HW18" i="72"/>
  <c r="V18" i="72"/>
  <c r="HX18" i="72"/>
  <c r="FO18" i="72" s="1"/>
  <c r="IP18" i="72" s="1"/>
  <c r="HY18" i="72"/>
  <c r="FI18" i="72" s="1"/>
  <c r="Q18" i="72"/>
  <c r="HP16" i="72"/>
  <c r="HQ16" i="72"/>
  <c r="EO16" i="72" s="1"/>
  <c r="T17" i="72"/>
  <c r="O17" i="72"/>
  <c r="X17" i="72"/>
  <c r="S17" i="72"/>
  <c r="W20" i="72"/>
  <c r="R20" i="72"/>
  <c r="R16" i="72"/>
  <c r="T18" i="72"/>
  <c r="O18" i="72"/>
  <c r="X18" i="72"/>
  <c r="S18" i="72"/>
  <c r="E59" i="72"/>
  <c r="V19" i="72"/>
  <c r="Q19" i="72"/>
  <c r="T16" i="72"/>
  <c r="O16" i="72"/>
  <c r="X16" i="72"/>
  <c r="S16" i="72"/>
  <c r="R18" i="72"/>
  <c r="O20" i="72"/>
  <c r="S20" i="72"/>
  <c r="E58" i="71"/>
  <c r="E61" i="71"/>
  <c r="E62" i="71" s="1"/>
  <c r="E63" i="71" s="1"/>
  <c r="E64" i="71" s="1"/>
  <c r="E65" i="71" s="1"/>
  <c r="E66" i="71" s="1"/>
  <c r="V19" i="71"/>
  <c r="Q19" i="71"/>
  <c r="T16" i="71"/>
  <c r="O16" i="71"/>
  <c r="X16" i="71"/>
  <c r="S16" i="71"/>
  <c r="T17" i="71"/>
  <c r="O17" i="71"/>
  <c r="X17" i="71"/>
  <c r="S17" i="71"/>
  <c r="W20" i="71"/>
  <c r="R20" i="71"/>
  <c r="R16" i="71"/>
  <c r="T18" i="71"/>
  <c r="O18" i="71"/>
  <c r="X18" i="71"/>
  <c r="S18" i="71"/>
  <c r="O20" i="71"/>
  <c r="S20" i="71"/>
  <c r="HV17" i="70"/>
  <c r="FE17" i="70" s="1"/>
  <c r="IO17" i="70" s="1"/>
  <c r="HS17" i="70"/>
  <c r="HU17" i="70"/>
  <c r="HR17" i="70"/>
  <c r="EU17" i="70" s="1"/>
  <c r="IN17" i="70" s="1"/>
  <c r="O17" i="70"/>
  <c r="HO17" i="70"/>
  <c r="EO17" i="70" s="1"/>
  <c r="T17" i="70"/>
  <c r="EO18" i="70"/>
  <c r="HP18" i="70"/>
  <c r="O18" i="70"/>
  <c r="HT18" i="70"/>
  <c r="HS18" i="70"/>
  <c r="HU18" i="70"/>
  <c r="HY18" i="70"/>
  <c r="HZ18" i="70"/>
  <c r="FO18" i="70" s="1"/>
  <c r="IP18" i="70" s="1"/>
  <c r="HW18" i="70"/>
  <c r="FI18" i="70" s="1"/>
  <c r="HX18" i="70"/>
  <c r="HZ17" i="70"/>
  <c r="HY17" i="70"/>
  <c r="HW17" i="70"/>
  <c r="HX17" i="70"/>
  <c r="HX16" i="70"/>
  <c r="HY16" i="70"/>
  <c r="HZ16" i="70"/>
  <c r="FO16" i="70" s="1"/>
  <c r="IP16" i="70" s="1"/>
  <c r="HU16" i="70"/>
  <c r="HV16" i="70"/>
  <c r="FE16" i="70" s="1"/>
  <c r="IO16" i="70" s="1"/>
  <c r="HS16" i="70"/>
  <c r="HT16" i="70"/>
  <c r="HO16" i="70"/>
  <c r="O16" i="70"/>
  <c r="EU16" i="70"/>
  <c r="IN16" i="70" s="1"/>
  <c r="HP16" i="70"/>
  <c r="HQ16" i="70"/>
  <c r="EO16" i="70" s="1"/>
  <c r="T16" i="70"/>
  <c r="E58" i="70"/>
  <c r="E60" i="70"/>
  <c r="Q16" i="70"/>
  <c r="U16" i="70"/>
  <c r="Q17" i="70"/>
  <c r="U17" i="70"/>
  <c r="Q18" i="70"/>
  <c r="U18" i="70"/>
  <c r="O19" i="70"/>
  <c r="S19" i="70"/>
  <c r="W19" i="70"/>
  <c r="Q20" i="70"/>
  <c r="Y20" i="70" s="1"/>
  <c r="GM20" i="70" s="1"/>
  <c r="U20" i="70"/>
  <c r="E57" i="70"/>
  <c r="E59" i="70"/>
  <c r="E61" i="70"/>
  <c r="E62" i="70" s="1"/>
  <c r="E63" i="70" s="1"/>
  <c r="E64" i="70" s="1"/>
  <c r="E65" i="70" s="1"/>
  <c r="E66" i="70" s="1"/>
  <c r="HV17" i="69"/>
  <c r="FE17" i="69" s="1"/>
  <c r="IO17" i="69" s="1"/>
  <c r="HS17" i="69"/>
  <c r="HU17" i="69"/>
  <c r="HO17" i="69"/>
  <c r="HQ17" i="69"/>
  <c r="HO18" i="69"/>
  <c r="HP18" i="69"/>
  <c r="HQ18" i="69"/>
  <c r="EO18" i="69" s="1"/>
  <c r="HR18" i="69"/>
  <c r="EU18" i="69" s="1"/>
  <c r="IN18" i="69" s="1"/>
  <c r="U18" i="69"/>
  <c r="HU18" i="69"/>
  <c r="HV18" i="69"/>
  <c r="FE18" i="69" s="1"/>
  <c r="IO18" i="69" s="1"/>
  <c r="HS18" i="69"/>
  <c r="HZ18" i="69"/>
  <c r="FO18" i="69" s="1"/>
  <c r="IP18" i="69" s="1"/>
  <c r="V18" i="69"/>
  <c r="HW18" i="69"/>
  <c r="FI18" i="69" s="1"/>
  <c r="HX18" i="69"/>
  <c r="Q18" i="69"/>
  <c r="HZ17" i="69"/>
  <c r="FO17" i="69" s="1"/>
  <c r="IP17" i="69" s="1"/>
  <c r="V17" i="69"/>
  <c r="HW17" i="69"/>
  <c r="FI17" i="69" s="1"/>
  <c r="Q17" i="69"/>
  <c r="HZ16" i="69"/>
  <c r="FO16" i="69" s="1"/>
  <c r="IP16" i="69" s="1"/>
  <c r="HY16" i="69"/>
  <c r="V16" i="69"/>
  <c r="FE16" i="69"/>
  <c r="IO16" i="69" s="1"/>
  <c r="HS16" i="69"/>
  <c r="HT16" i="69"/>
  <c r="HQ16" i="69"/>
  <c r="O16" i="69"/>
  <c r="Y16" i="69" s="1"/>
  <c r="HR16" i="69"/>
  <c r="EU16" i="69" s="1"/>
  <c r="IN16" i="69" s="1"/>
  <c r="HO16" i="69"/>
  <c r="HP16" i="69"/>
  <c r="W16" i="69"/>
  <c r="W17" i="69"/>
  <c r="O18" i="69"/>
  <c r="S18" i="69"/>
  <c r="W18" i="69"/>
  <c r="U19" i="69"/>
  <c r="O20" i="69"/>
  <c r="S20" i="69"/>
  <c r="W20" i="69"/>
  <c r="E59" i="69"/>
  <c r="HX18" i="68"/>
  <c r="HY18" i="68"/>
  <c r="FI18" i="68" s="1"/>
  <c r="U18" i="68"/>
  <c r="HT18" i="68"/>
  <c r="HU18" i="68"/>
  <c r="EY18" i="68" s="1"/>
  <c r="P18" i="68"/>
  <c r="HV18" i="68"/>
  <c r="HQ18" i="68"/>
  <c r="HR18" i="68"/>
  <c r="HO18" i="68"/>
  <c r="HZ17" i="68"/>
  <c r="FO17" i="68" s="1"/>
  <c r="IP17" i="68" s="1"/>
  <c r="HV17" i="68"/>
  <c r="FE17" i="68" s="1"/>
  <c r="IO17" i="68" s="1"/>
  <c r="HS17" i="68"/>
  <c r="EY17" i="68" s="1"/>
  <c r="P17" i="68"/>
  <c r="U17" i="68"/>
  <c r="HO17" i="68"/>
  <c r="HP17" i="68"/>
  <c r="HY16" i="68"/>
  <c r="HZ16" i="68"/>
  <c r="FO16" i="68" s="1"/>
  <c r="IP16" i="68" s="1"/>
  <c r="P16" i="68"/>
  <c r="HU16" i="68"/>
  <c r="HV16" i="68"/>
  <c r="FE16" i="68" s="1"/>
  <c r="IO16" i="68" s="1"/>
  <c r="HR16" i="68"/>
  <c r="EU16" i="68" s="1"/>
  <c r="IN16" i="68" s="1"/>
  <c r="HO16" i="68"/>
  <c r="EO16" i="68" s="1"/>
  <c r="Q16" i="68"/>
  <c r="Q18" i="68"/>
  <c r="O19" i="68"/>
  <c r="S19" i="68"/>
  <c r="E59" i="68"/>
  <c r="W16" i="68"/>
  <c r="W17" i="68"/>
  <c r="W18" i="68"/>
  <c r="U19" i="68"/>
  <c r="W20" i="68"/>
  <c r="E60" i="68"/>
  <c r="Q17" i="68"/>
  <c r="Q20" i="68"/>
  <c r="C1" i="7"/>
  <c r="I32" i="6"/>
  <c r="I33" i="6"/>
  <c r="I34" i="6"/>
  <c r="I35" i="6"/>
  <c r="I31" i="6"/>
  <c r="D20" i="8"/>
  <c r="D20" i="9"/>
  <c r="D20" i="10"/>
  <c r="D20" i="5"/>
  <c r="D20" i="30"/>
  <c r="D20" i="31"/>
  <c r="D20" i="29"/>
  <c r="D20" i="13"/>
  <c r="D20" i="14"/>
  <c r="D20" i="15"/>
  <c r="D20" i="16"/>
  <c r="D20" i="19"/>
  <c r="D20" i="20"/>
  <c r="D20" i="21"/>
  <c r="D20" i="24"/>
  <c r="D20" i="26"/>
  <c r="D19" i="8"/>
  <c r="D19" i="9"/>
  <c r="D19" i="10"/>
  <c r="D19" i="5"/>
  <c r="D19" i="30"/>
  <c r="D19" i="31"/>
  <c r="D19" i="29"/>
  <c r="D19" i="13"/>
  <c r="D19" i="14"/>
  <c r="D19" i="15"/>
  <c r="D19" i="16"/>
  <c r="D19" i="19"/>
  <c r="D19" i="21"/>
  <c r="D19" i="23"/>
  <c r="D19" i="24"/>
  <c r="D19" i="26"/>
  <c r="B20" i="8"/>
  <c r="B20" i="9"/>
  <c r="B20" i="10"/>
  <c r="B20" i="5"/>
  <c r="B20" i="30"/>
  <c r="B20" i="31"/>
  <c r="B20" i="28"/>
  <c r="B20" i="29"/>
  <c r="B20" i="13"/>
  <c r="B20" i="14"/>
  <c r="B20" i="15"/>
  <c r="B20" i="16"/>
  <c r="B20" i="17"/>
  <c r="B20" i="19"/>
  <c r="B20" i="20"/>
  <c r="B20" i="21"/>
  <c r="B20" i="23"/>
  <c r="B20" i="25"/>
  <c r="B20" i="26"/>
  <c r="B19" i="8"/>
  <c r="B19" i="9"/>
  <c r="B19" i="10"/>
  <c r="B19" i="5"/>
  <c r="B19" i="30"/>
  <c r="B19" i="31"/>
  <c r="B19" i="28"/>
  <c r="B19" i="29"/>
  <c r="B19" i="13"/>
  <c r="B19" i="14"/>
  <c r="B19" i="15"/>
  <c r="B19" i="16"/>
  <c r="B19" i="17"/>
  <c r="B19" i="19"/>
  <c r="B19" i="20"/>
  <c r="B19" i="21"/>
  <c r="B19" i="23"/>
  <c r="B19" i="24"/>
  <c r="B19" i="25"/>
  <c r="B19" i="26"/>
  <c r="EY72" i="67"/>
  <c r="BC72" i="67"/>
  <c r="HD42" i="67"/>
  <c r="IT20" i="67"/>
  <c r="IS20" i="67"/>
  <c r="IR20" i="67"/>
  <c r="IQ20" i="67"/>
  <c r="IP20" i="67"/>
  <c r="IO20" i="67"/>
  <c r="IN20" i="67"/>
  <c r="IM20" i="67"/>
  <c r="IL20" i="67"/>
  <c r="IK20" i="67"/>
  <c r="IJ20" i="67"/>
  <c r="II20" i="67"/>
  <c r="IH20" i="67"/>
  <c r="IG20" i="67"/>
  <c r="IF20" i="67"/>
  <c r="IE20" i="67"/>
  <c r="ID20" i="67"/>
  <c r="IC20" i="67"/>
  <c r="IB20" i="67"/>
  <c r="IA20" i="67"/>
  <c r="HZ20" i="67"/>
  <c r="HY20" i="67"/>
  <c r="HX20" i="67"/>
  <c r="HW20" i="67"/>
  <c r="HV20" i="67"/>
  <c r="HU20" i="67"/>
  <c r="HT20" i="67"/>
  <c r="HS20" i="67"/>
  <c r="HR20" i="67"/>
  <c r="HQ20" i="67"/>
  <c r="HP20" i="67"/>
  <c r="HO20" i="67"/>
  <c r="GI20" i="67"/>
  <c r="GC20" i="67"/>
  <c r="GG20" i="67" s="1"/>
  <c r="FY20" i="67"/>
  <c r="FS20" i="67"/>
  <c r="FW20" i="67" s="1"/>
  <c r="FO20" i="67"/>
  <c r="FI20" i="67"/>
  <c r="FM20" i="67" s="1"/>
  <c r="FE20" i="67"/>
  <c r="EY20" i="67"/>
  <c r="FC20" i="67" s="1"/>
  <c r="EU20" i="67"/>
  <c r="EO20" i="67"/>
  <c r="ES20" i="67" s="1"/>
  <c r="HH20" i="67"/>
  <c r="HA20" i="67"/>
  <c r="GT20" i="67"/>
  <c r="GM20" i="67"/>
  <c r="IH19" i="67"/>
  <c r="IG19" i="67"/>
  <c r="IF19" i="67"/>
  <c r="IE19" i="67"/>
  <c r="ID19" i="67"/>
  <c r="IC19" i="67"/>
  <c r="IB19" i="67"/>
  <c r="IA19" i="67"/>
  <c r="HZ19" i="67"/>
  <c r="HY19" i="67"/>
  <c r="HX19" i="67"/>
  <c r="HW19" i="67"/>
  <c r="HV19" i="67"/>
  <c r="HU19" i="67"/>
  <c r="HT19" i="67"/>
  <c r="HS19" i="67"/>
  <c r="HR19" i="67"/>
  <c r="HQ19" i="67"/>
  <c r="HP19" i="67"/>
  <c r="HO19" i="67"/>
  <c r="GI19" i="67"/>
  <c r="IR19" i="67" s="1"/>
  <c r="GC19" i="67"/>
  <c r="GG19" i="67" s="1"/>
  <c r="FY19" i="67"/>
  <c r="IQ19" i="67" s="1"/>
  <c r="FS19" i="67"/>
  <c r="FW19" i="67" s="1"/>
  <c r="FO19" i="67"/>
  <c r="IP19" i="67" s="1"/>
  <c r="FI19" i="67"/>
  <c r="FM19" i="67" s="1"/>
  <c r="FE19" i="67"/>
  <c r="IO19" i="67" s="1"/>
  <c r="EY19" i="67"/>
  <c r="FC19" i="67" s="1"/>
  <c r="EU19" i="67"/>
  <c r="IN19" i="67" s="1"/>
  <c r="EO19" i="67"/>
  <c r="ES19" i="67" s="1"/>
  <c r="IR18" i="67"/>
  <c r="IM18" i="67"/>
  <c r="IH18" i="67"/>
  <c r="IG18" i="67"/>
  <c r="IF18" i="67"/>
  <c r="IE18" i="67"/>
  <c r="ID18" i="67"/>
  <c r="IC18" i="67"/>
  <c r="IB18" i="67"/>
  <c r="IA18" i="67"/>
  <c r="FS18" i="67" s="1"/>
  <c r="HX18" i="67"/>
  <c r="HV18" i="67"/>
  <c r="HT18" i="67"/>
  <c r="GI18" i="67"/>
  <c r="GC18" i="67"/>
  <c r="GG18" i="67" s="1"/>
  <c r="FY18" i="67"/>
  <c r="IQ18" i="67" s="1"/>
  <c r="HS18" i="67"/>
  <c r="IH17" i="67"/>
  <c r="GI17" i="67" s="1"/>
  <c r="IR17" i="67" s="1"/>
  <c r="IG17" i="67"/>
  <c r="IF17" i="67"/>
  <c r="IE17" i="67"/>
  <c r="ID17" i="67"/>
  <c r="FY17" i="67" s="1"/>
  <c r="IQ17" i="67" s="1"/>
  <c r="IC17" i="67"/>
  <c r="IB17" i="67"/>
  <c r="IA17" i="67"/>
  <c r="FS17" i="67" s="1"/>
  <c r="FW17" i="67" s="1"/>
  <c r="HW17" i="67"/>
  <c r="HP17" i="67"/>
  <c r="GC17" i="67"/>
  <c r="GG17" i="67" s="1"/>
  <c r="HU17" i="67"/>
  <c r="IR16" i="67"/>
  <c r="IM16" i="67"/>
  <c r="IH16" i="67"/>
  <c r="IG16" i="67"/>
  <c r="IF16" i="67"/>
  <c r="IE16" i="67"/>
  <c r="ID16" i="67"/>
  <c r="IC16" i="67"/>
  <c r="IB16" i="67"/>
  <c r="IA16" i="67"/>
  <c r="GI16" i="67"/>
  <c r="GC16" i="67"/>
  <c r="GG16" i="67" s="1"/>
  <c r="FY16" i="67"/>
  <c r="IQ16" i="67" s="1"/>
  <c r="HS16" i="67"/>
  <c r="EU18" i="89" l="1"/>
  <c r="IN18" i="89" s="1"/>
  <c r="EU17" i="89"/>
  <c r="IN17" i="89" s="1"/>
  <c r="FI19" i="91"/>
  <c r="Z17" i="91"/>
  <c r="GT17" i="91" s="1"/>
  <c r="GG16" i="91"/>
  <c r="IM16" i="91"/>
  <c r="EO19" i="92"/>
  <c r="FI18" i="92"/>
  <c r="FO18" i="84"/>
  <c r="IP18" i="84" s="1"/>
  <c r="EY18" i="84"/>
  <c r="GG16" i="84"/>
  <c r="IM16" i="84"/>
  <c r="IJ16" i="85"/>
  <c r="FW19" i="86"/>
  <c r="IL19" i="86"/>
  <c r="EU18" i="72"/>
  <c r="IN18" i="72" s="1"/>
  <c r="FW17" i="79"/>
  <c r="IL17" i="79"/>
  <c r="FO17" i="79"/>
  <c r="IP17" i="79" s="1"/>
  <c r="FI19" i="82"/>
  <c r="FM19" i="82" s="1"/>
  <c r="EO19" i="80"/>
  <c r="GG19" i="74"/>
  <c r="IM19" i="74"/>
  <c r="GG17" i="74"/>
  <c r="IM17" i="74"/>
  <c r="FO16" i="74"/>
  <c r="IP16" i="74" s="1"/>
  <c r="Z19" i="75"/>
  <c r="GT19" i="75" s="1"/>
  <c r="GG19" i="75"/>
  <c r="IM19" i="75"/>
  <c r="FW19" i="75"/>
  <c r="IL19" i="75"/>
  <c r="IT19" i="75"/>
  <c r="FE16" i="77"/>
  <c r="IO16" i="77" s="1"/>
  <c r="EO16" i="76"/>
  <c r="EU18" i="71"/>
  <c r="IN18" i="71" s="1"/>
  <c r="EU17" i="69"/>
  <c r="IN17" i="69" s="1"/>
  <c r="FE18" i="68"/>
  <c r="IO18" i="68" s="1"/>
  <c r="FW20" i="68"/>
  <c r="IL20" i="68"/>
  <c r="IM17" i="67"/>
  <c r="FW17" i="76"/>
  <c r="Z19" i="67"/>
  <c r="GT19" i="67" s="1"/>
  <c r="Y19" i="67"/>
  <c r="GM19" i="67" s="1"/>
  <c r="IM19" i="67"/>
  <c r="IL19" i="67"/>
  <c r="ES18" i="92"/>
  <c r="FW16" i="77"/>
  <c r="FY18" i="89"/>
  <c r="IQ18" i="89" s="1"/>
  <c r="FS19" i="89"/>
  <c r="FW19" i="89" s="1"/>
  <c r="FI19" i="90"/>
  <c r="IK19" i="90" s="1"/>
  <c r="IM18" i="90"/>
  <c r="EY19" i="90"/>
  <c r="FC19" i="90" s="1"/>
  <c r="FO17" i="90"/>
  <c r="IP17" i="90" s="1"/>
  <c r="EU16" i="90"/>
  <c r="IN16" i="90" s="1"/>
  <c r="FW18" i="91"/>
  <c r="IL18" i="91"/>
  <c r="EO17" i="91"/>
  <c r="II17" i="91" s="1"/>
  <c r="FW16" i="91"/>
  <c r="IL16" i="91"/>
  <c r="II18" i="87"/>
  <c r="ES18" i="87"/>
  <c r="FC20" i="86"/>
  <c r="IJ20" i="86"/>
  <c r="Z20" i="86"/>
  <c r="GT20" i="86" s="1"/>
  <c r="IT20" i="86"/>
  <c r="AA20" i="86"/>
  <c r="HA20" i="86" s="1"/>
  <c r="ES20" i="86"/>
  <c r="II20" i="86"/>
  <c r="IS20" i="86" s="1"/>
  <c r="IJ18" i="86"/>
  <c r="FO17" i="86"/>
  <c r="IP17" i="86" s="1"/>
  <c r="FY16" i="86"/>
  <c r="IQ16" i="86" s="1"/>
  <c r="IT16" i="86" s="1"/>
  <c r="FE18" i="85"/>
  <c r="IO18" i="85" s="1"/>
  <c r="IT18" i="85" s="1"/>
  <c r="FI16" i="83"/>
  <c r="FM16" i="83" s="1"/>
  <c r="FO18" i="82"/>
  <c r="IP18" i="82" s="1"/>
  <c r="EU18" i="82"/>
  <c r="IN18" i="82" s="1"/>
  <c r="EU17" i="82"/>
  <c r="IN17" i="82" s="1"/>
  <c r="IT17" i="82" s="1"/>
  <c r="GG16" i="82"/>
  <c r="IM16" i="82"/>
  <c r="FW20" i="80"/>
  <c r="IL20" i="80"/>
  <c r="EO17" i="80"/>
  <c r="ES17" i="80" s="1"/>
  <c r="EU19" i="78"/>
  <c r="IN19" i="78" s="1"/>
  <c r="Z17" i="78"/>
  <c r="GT17" i="78" s="1"/>
  <c r="IK16" i="78"/>
  <c r="FO18" i="74"/>
  <c r="IP18" i="74" s="1"/>
  <c r="FW20" i="71"/>
  <c r="IL20" i="71"/>
  <c r="Z19" i="77"/>
  <c r="GT19" i="77" s="1"/>
  <c r="FE17" i="77"/>
  <c r="IO17" i="77" s="1"/>
  <c r="EY17" i="76"/>
  <c r="FC17" i="76" s="1"/>
  <c r="EY18" i="72"/>
  <c r="IJ18" i="72" s="1"/>
  <c r="EU16" i="72"/>
  <c r="IN16" i="72" s="1"/>
  <c r="GG20" i="70"/>
  <c r="IM20" i="70"/>
  <c r="FI19" i="70"/>
  <c r="FM19" i="70" s="1"/>
  <c r="FY17" i="70"/>
  <c r="IQ17" i="70" s="1"/>
  <c r="FY17" i="69"/>
  <c r="IQ17" i="69" s="1"/>
  <c r="FM20" i="68"/>
  <c r="IK20" i="68"/>
  <c r="Y20" i="68"/>
  <c r="GM20" i="68" s="1"/>
  <c r="IT20" i="68"/>
  <c r="FC20" i="68"/>
  <c r="IJ20" i="68"/>
  <c r="IS20" i="68" s="1"/>
  <c r="AB20" i="68"/>
  <c r="HH20" i="68" s="1"/>
  <c r="GG19" i="68"/>
  <c r="IM19" i="68"/>
  <c r="FW19" i="68"/>
  <c r="IL19" i="68"/>
  <c r="EO19" i="68"/>
  <c r="II19" i="68" s="1"/>
  <c r="FW18" i="68"/>
  <c r="IL18" i="68"/>
  <c r="GG16" i="68"/>
  <c r="IM16" i="68"/>
  <c r="IL17" i="67"/>
  <c r="FS16" i="67"/>
  <c r="FW16" i="67" s="1"/>
  <c r="FM20" i="92"/>
  <c r="IK20" i="92"/>
  <c r="FC20" i="92"/>
  <c r="IJ20" i="92"/>
  <c r="Y20" i="92"/>
  <c r="GM20" i="92" s="1"/>
  <c r="ES20" i="92"/>
  <c r="II20" i="92"/>
  <c r="AA20" i="92"/>
  <c r="HA20" i="92" s="1"/>
  <c r="FW17" i="88"/>
  <c r="IL17" i="88"/>
  <c r="FE18" i="89"/>
  <c r="IO18" i="89" s="1"/>
  <c r="FY17" i="76"/>
  <c r="IQ17" i="76" s="1"/>
  <c r="IT17" i="76" s="1"/>
  <c r="FW17" i="74"/>
  <c r="IL17" i="74"/>
  <c r="EY16" i="74"/>
  <c r="FC16" i="74" s="1"/>
  <c r="II19" i="78"/>
  <c r="FW17" i="80"/>
  <c r="IL17" i="80"/>
  <c r="FS16" i="80"/>
  <c r="IL16" i="80" s="1"/>
  <c r="Z17" i="82"/>
  <c r="GT17" i="82" s="1"/>
  <c r="IM17" i="82"/>
  <c r="EU18" i="83"/>
  <c r="IN18" i="83" s="1"/>
  <c r="EU16" i="84"/>
  <c r="IN16" i="84" s="1"/>
  <c r="FW17" i="85"/>
  <c r="IL17" i="85"/>
  <c r="FS18" i="86"/>
  <c r="GG16" i="86"/>
  <c r="IM16" i="86"/>
  <c r="GG20" i="87"/>
  <c r="IM20" i="87"/>
  <c r="FW20" i="87"/>
  <c r="IL20" i="87"/>
  <c r="IK20" i="87"/>
  <c r="FW19" i="87"/>
  <c r="IL19" i="87"/>
  <c r="FO19" i="87"/>
  <c r="IP19" i="87" s="1"/>
  <c r="IT19" i="87" s="1"/>
  <c r="FO17" i="87"/>
  <c r="IP17" i="87" s="1"/>
  <c r="Y17" i="87"/>
  <c r="GM17" i="87" s="1"/>
  <c r="EY17" i="91"/>
  <c r="FC17" i="91" s="1"/>
  <c r="FE18" i="92"/>
  <c r="IO18" i="92" s="1"/>
  <c r="Y18" i="92"/>
  <c r="GM18" i="92" s="1"/>
  <c r="EY16" i="92"/>
  <c r="FC16" i="92" s="1"/>
  <c r="Z16" i="92"/>
  <c r="GT16" i="92" s="1"/>
  <c r="FO16" i="72"/>
  <c r="IP16" i="72" s="1"/>
  <c r="FW20" i="70"/>
  <c r="IL20" i="70"/>
  <c r="FE19" i="70"/>
  <c r="IO19" i="70" s="1"/>
  <c r="GI17" i="70"/>
  <c r="IR17" i="70" s="1"/>
  <c r="FW16" i="70"/>
  <c r="IL16" i="70"/>
  <c r="EY17" i="69"/>
  <c r="FC17" i="69" s="1"/>
  <c r="FW16" i="68"/>
  <c r="IL16" i="68"/>
  <c r="IK19" i="67"/>
  <c r="IJ19" i="67"/>
  <c r="IT19" i="67"/>
  <c r="II19" i="67"/>
  <c r="AA19" i="67"/>
  <c r="HA19" i="67" s="1"/>
  <c r="AB19" i="67"/>
  <c r="HH19" i="67" s="1"/>
  <c r="Z19" i="68"/>
  <c r="GT19" i="68" s="1"/>
  <c r="Z16" i="67"/>
  <c r="GT16" i="67" s="1"/>
  <c r="FE18" i="87"/>
  <c r="IO18" i="87" s="1"/>
  <c r="IT18" i="87" s="1"/>
  <c r="Z17" i="88"/>
  <c r="GT17" i="88" s="1"/>
  <c r="FW16" i="86"/>
  <c r="FI18" i="78"/>
  <c r="IK18" i="78" s="1"/>
  <c r="FI17" i="68"/>
  <c r="FM17" i="68" s="1"/>
  <c r="EO16" i="78"/>
  <c r="ES16" i="78" s="1"/>
  <c r="FI19" i="89"/>
  <c r="FM19" i="89" s="1"/>
  <c r="ES18" i="74"/>
  <c r="FE18" i="77"/>
  <c r="IO18" i="77" s="1"/>
  <c r="Y20" i="88"/>
  <c r="Z17" i="76"/>
  <c r="GT17" i="76" s="1"/>
  <c r="Z20" i="89"/>
  <c r="GT20" i="89" s="1"/>
  <c r="FI16" i="92"/>
  <c r="IK16" i="92" s="1"/>
  <c r="Z20" i="80"/>
  <c r="GT20" i="80" s="1"/>
  <c r="IK19" i="68"/>
  <c r="IT20" i="80"/>
  <c r="EY18" i="70"/>
  <c r="IJ18" i="70" s="1"/>
  <c r="EO17" i="85"/>
  <c r="ES17" i="85" s="1"/>
  <c r="FI16" i="87"/>
  <c r="IK16" i="87" s="1"/>
  <c r="Z18" i="92"/>
  <c r="GT18" i="92" s="1"/>
  <c r="FO19" i="70"/>
  <c r="IP19" i="70" s="1"/>
  <c r="FO19" i="81"/>
  <c r="IP19" i="81" s="1"/>
  <c r="IJ19" i="91"/>
  <c r="FM20" i="89"/>
  <c r="IK20" i="89"/>
  <c r="FC20" i="89"/>
  <c r="IJ20" i="89"/>
  <c r="IT20" i="89"/>
  <c r="Y20" i="89"/>
  <c r="GM20" i="89" s="1"/>
  <c r="ES20" i="89"/>
  <c r="II20" i="89"/>
  <c r="FO18" i="89"/>
  <c r="IP18" i="89" s="1"/>
  <c r="IT18" i="89" s="1"/>
  <c r="EU16" i="89"/>
  <c r="IN16" i="89" s="1"/>
  <c r="IT16" i="89" s="1"/>
  <c r="FM20" i="88"/>
  <c r="IK20" i="88"/>
  <c r="FC20" i="88"/>
  <c r="IJ20" i="88"/>
  <c r="IT20" i="88"/>
  <c r="Z20" i="88"/>
  <c r="GT20" i="88" s="1"/>
  <c r="ES20" i="88"/>
  <c r="II20" i="88"/>
  <c r="IS20" i="88" s="1"/>
  <c r="GM20" i="88"/>
  <c r="AA20" i="88"/>
  <c r="HA20" i="88" s="1"/>
  <c r="EY18" i="88"/>
  <c r="IJ18" i="88" s="1"/>
  <c r="GG16" i="88"/>
  <c r="IM16" i="88"/>
  <c r="EY17" i="92"/>
  <c r="IJ17" i="92" s="1"/>
  <c r="GG19" i="90"/>
  <c r="IM19" i="90"/>
  <c r="FI16" i="90"/>
  <c r="FM16" i="90" s="1"/>
  <c r="EO16" i="90"/>
  <c r="II16" i="90" s="1"/>
  <c r="FE19" i="91"/>
  <c r="IO19" i="91" s="1"/>
  <c r="IT19" i="91" s="1"/>
  <c r="FE17" i="84"/>
  <c r="IO17" i="84" s="1"/>
  <c r="IT17" i="84" s="1"/>
  <c r="FI17" i="85"/>
  <c r="FM17" i="85" s="1"/>
  <c r="GG19" i="78"/>
  <c r="IM19" i="78"/>
  <c r="Y17" i="78"/>
  <c r="FM20" i="80"/>
  <c r="IK20" i="80"/>
  <c r="Y20" i="80"/>
  <c r="GM20" i="80" s="1"/>
  <c r="FC20" i="80"/>
  <c r="IJ20" i="80"/>
  <c r="ES20" i="80"/>
  <c r="II20" i="80"/>
  <c r="FI19" i="80"/>
  <c r="FM19" i="80" s="1"/>
  <c r="FS18" i="80"/>
  <c r="FW18" i="80" s="1"/>
  <c r="IT17" i="80"/>
  <c r="FS19" i="79"/>
  <c r="IL19" i="79" s="1"/>
  <c r="Z17" i="79"/>
  <c r="GT17" i="79" s="1"/>
  <c r="ES20" i="81"/>
  <c r="II20" i="81"/>
  <c r="GG19" i="81"/>
  <c r="IM19" i="81"/>
  <c r="FW19" i="81"/>
  <c r="IL19" i="81"/>
  <c r="Z19" i="81"/>
  <c r="GT19" i="81" s="1"/>
  <c r="IJ19" i="81"/>
  <c r="GG19" i="82"/>
  <c r="IM19" i="82"/>
  <c r="FW19" i="82"/>
  <c r="IL19" i="82"/>
  <c r="FO19" i="82"/>
  <c r="IP19" i="82" s="1"/>
  <c r="IT19" i="82" s="1"/>
  <c r="EY19" i="82"/>
  <c r="FC19" i="82" s="1"/>
  <c r="ES17" i="75"/>
  <c r="II17" i="75"/>
  <c r="IK20" i="71"/>
  <c r="EY18" i="71"/>
  <c r="IJ18" i="71" s="1"/>
  <c r="GG19" i="77"/>
  <c r="IM19" i="77"/>
  <c r="Y19" i="77"/>
  <c r="GM19" i="77" s="1"/>
  <c r="FO19" i="76"/>
  <c r="IP19" i="76" s="1"/>
  <c r="FO18" i="68"/>
  <c r="IP18" i="68" s="1"/>
  <c r="FI16" i="68"/>
  <c r="FM16" i="68" s="1"/>
  <c r="EO19" i="70"/>
  <c r="II19" i="70" s="1"/>
  <c r="FM17" i="88"/>
  <c r="IK17" i="88"/>
  <c r="IL18" i="86"/>
  <c r="FW18" i="86"/>
  <c r="ES19" i="91"/>
  <c r="II19" i="91"/>
  <c r="IJ16" i="82"/>
  <c r="FC16" i="82"/>
  <c r="GG17" i="70"/>
  <c r="IM17" i="70"/>
  <c r="IJ19" i="74"/>
  <c r="FC19" i="74"/>
  <c r="Z18" i="72"/>
  <c r="GT18" i="72" s="1"/>
  <c r="Z18" i="74"/>
  <c r="GT18" i="74" s="1"/>
  <c r="Z17" i="86"/>
  <c r="GT17" i="86" s="1"/>
  <c r="Y19" i="87"/>
  <c r="GM19" i="87" s="1"/>
  <c r="FW16" i="81"/>
  <c r="FO17" i="91"/>
  <c r="IP17" i="91" s="1"/>
  <c r="IT17" i="91" s="1"/>
  <c r="Z20" i="76"/>
  <c r="GT20" i="76" s="1"/>
  <c r="FI16" i="69"/>
  <c r="FM16" i="69" s="1"/>
  <c r="Z17" i="69"/>
  <c r="GT17" i="69" s="1"/>
  <c r="Y19" i="70"/>
  <c r="EO17" i="72"/>
  <c r="ES17" i="72" s="1"/>
  <c r="Y17" i="74"/>
  <c r="GM17" i="74" s="1"/>
  <c r="Y17" i="80"/>
  <c r="GM17" i="80" s="1"/>
  <c r="IT17" i="78"/>
  <c r="Z17" i="77"/>
  <c r="GT17" i="77" s="1"/>
  <c r="Z19" i="87"/>
  <c r="GT19" i="87" s="1"/>
  <c r="Z17" i="84"/>
  <c r="GT17" i="84" s="1"/>
  <c r="EY16" i="91"/>
  <c r="IJ16" i="91" s="1"/>
  <c r="Y19" i="78"/>
  <c r="GM19" i="78" s="1"/>
  <c r="IT18" i="76"/>
  <c r="FO17" i="88"/>
  <c r="IP17" i="88" s="1"/>
  <c r="IK19" i="82"/>
  <c r="Y19" i="68"/>
  <c r="GM19" i="68" s="1"/>
  <c r="IT17" i="74"/>
  <c r="EY16" i="80"/>
  <c r="FI18" i="79"/>
  <c r="FM18" i="79" s="1"/>
  <c r="FI16" i="80"/>
  <c r="IK16" i="80" s="1"/>
  <c r="EY16" i="88"/>
  <c r="IJ16" i="88" s="1"/>
  <c r="GG18" i="82"/>
  <c r="GG18" i="84"/>
  <c r="Z16" i="83"/>
  <c r="GT16" i="83" s="1"/>
  <c r="Y18" i="91"/>
  <c r="GM18" i="91" s="1"/>
  <c r="Y18" i="67"/>
  <c r="AA18" i="67" s="1"/>
  <c r="Z17" i="90"/>
  <c r="GT17" i="90" s="1"/>
  <c r="FI17" i="90"/>
  <c r="FM17" i="90" s="1"/>
  <c r="IL17" i="90"/>
  <c r="EY16" i="68"/>
  <c r="FC16" i="68" s="1"/>
  <c r="II18" i="81"/>
  <c r="Z17" i="89"/>
  <c r="GT17" i="89" s="1"/>
  <c r="Y19" i="76"/>
  <c r="GM19" i="76" s="1"/>
  <c r="Y19" i="82"/>
  <c r="GM19" i="82" s="1"/>
  <c r="FS18" i="72"/>
  <c r="FW18" i="72" s="1"/>
  <c r="Y16" i="67"/>
  <c r="AB16" i="67" s="1"/>
  <c r="GG19" i="89"/>
  <c r="IM19" i="89"/>
  <c r="IL19" i="89"/>
  <c r="GG18" i="89"/>
  <c r="IM18" i="89"/>
  <c r="IK18" i="88"/>
  <c r="Y18" i="88"/>
  <c r="GM18" i="88" s="1"/>
  <c r="EO18" i="88"/>
  <c r="II18" i="88" s="1"/>
  <c r="FE17" i="88"/>
  <c r="IO17" i="88" s="1"/>
  <c r="EU17" i="88"/>
  <c r="IN17" i="88" s="1"/>
  <c r="FM16" i="88"/>
  <c r="IK16" i="88"/>
  <c r="GG20" i="90"/>
  <c r="IM20" i="90"/>
  <c r="Y20" i="90"/>
  <c r="GM20" i="90" s="1"/>
  <c r="FW20" i="90"/>
  <c r="IL20" i="90"/>
  <c r="Z20" i="90"/>
  <c r="GT20" i="90" s="1"/>
  <c r="FM20" i="90"/>
  <c r="IK20" i="90"/>
  <c r="IT20" i="90"/>
  <c r="FC20" i="90"/>
  <c r="IJ20" i="90"/>
  <c r="FY19" i="90"/>
  <c r="IQ19" i="90" s="1"/>
  <c r="IT19" i="90" s="1"/>
  <c r="Y19" i="90"/>
  <c r="GM19" i="90" s="1"/>
  <c r="FE17" i="90"/>
  <c r="IO17" i="90" s="1"/>
  <c r="IT17" i="90" s="1"/>
  <c r="EY16" i="90"/>
  <c r="IJ16" i="90" s="1"/>
  <c r="GG19" i="91"/>
  <c r="IM19" i="91"/>
  <c r="Z19" i="91"/>
  <c r="GT19" i="91" s="1"/>
  <c r="FW19" i="91"/>
  <c r="IL19" i="91"/>
  <c r="FM19" i="91"/>
  <c r="IK19" i="91"/>
  <c r="Y19" i="91"/>
  <c r="GM19" i="91" s="1"/>
  <c r="Z16" i="91"/>
  <c r="GT16" i="91" s="1"/>
  <c r="EU16" i="92"/>
  <c r="IN16" i="92" s="1"/>
  <c r="IT16" i="92" s="1"/>
  <c r="Y20" i="83"/>
  <c r="GM20" i="83" s="1"/>
  <c r="GG19" i="83"/>
  <c r="IM19" i="83"/>
  <c r="Z19" i="83"/>
  <c r="GT19" i="83" s="1"/>
  <c r="IJ18" i="83"/>
  <c r="EO18" i="83"/>
  <c r="ES18" i="83" s="1"/>
  <c r="Z20" i="87"/>
  <c r="GT20" i="87" s="1"/>
  <c r="IT20" i="87"/>
  <c r="Y20" i="87"/>
  <c r="FC20" i="87"/>
  <c r="IJ20" i="87"/>
  <c r="ES20" i="87"/>
  <c r="II20" i="87"/>
  <c r="ES19" i="87"/>
  <c r="II19" i="87"/>
  <c r="FM19" i="87"/>
  <c r="IK19" i="87"/>
  <c r="FC19" i="87"/>
  <c r="IJ19" i="87"/>
  <c r="Z18" i="87"/>
  <c r="GT18" i="87" s="1"/>
  <c r="II16" i="87"/>
  <c r="IJ17" i="86"/>
  <c r="FE17" i="86"/>
  <c r="IO17" i="86" s="1"/>
  <c r="IT17" i="86" s="1"/>
  <c r="IJ17" i="85"/>
  <c r="FW20" i="84"/>
  <c r="IL20" i="84"/>
  <c r="FM20" i="84"/>
  <c r="IK20" i="84"/>
  <c r="Y20" i="84"/>
  <c r="GM20" i="84" s="1"/>
  <c r="Z20" i="84"/>
  <c r="GT20" i="84" s="1"/>
  <c r="IT20" i="84"/>
  <c r="FC20" i="84"/>
  <c r="IJ20" i="84"/>
  <c r="ES20" i="84"/>
  <c r="II20" i="84"/>
  <c r="Y18" i="84"/>
  <c r="GM18" i="84" s="1"/>
  <c r="FM20" i="82"/>
  <c r="IK20" i="82"/>
  <c r="Y20" i="82"/>
  <c r="GM20" i="82" s="1"/>
  <c r="FC20" i="82"/>
  <c r="IJ20" i="82"/>
  <c r="IS20" i="82"/>
  <c r="IT20" i="82"/>
  <c r="Z20" i="82"/>
  <c r="GT20" i="82" s="1"/>
  <c r="Z19" i="82"/>
  <c r="GT19" i="82" s="1"/>
  <c r="ES19" i="82"/>
  <c r="II19" i="82"/>
  <c r="GG16" i="81"/>
  <c r="IM16" i="81"/>
  <c r="EU16" i="81"/>
  <c r="IN16" i="81" s="1"/>
  <c r="GG16" i="80"/>
  <c r="IM16" i="80"/>
  <c r="FE16" i="80"/>
  <c r="IO16" i="80" s="1"/>
  <c r="IT16" i="80" s="1"/>
  <c r="Y16" i="80"/>
  <c r="GM16" i="80" s="1"/>
  <c r="II16" i="80"/>
  <c r="IJ19" i="79"/>
  <c r="FC19" i="79"/>
  <c r="FO19" i="78"/>
  <c r="IP19" i="78" s="1"/>
  <c r="EU16" i="78"/>
  <c r="IN16" i="78" s="1"/>
  <c r="IT16" i="78" s="1"/>
  <c r="Y18" i="75"/>
  <c r="GM18" i="75" s="1"/>
  <c r="II16" i="75"/>
  <c r="FW19" i="74"/>
  <c r="IL19" i="74"/>
  <c r="Y19" i="74"/>
  <c r="GM19" i="74" s="1"/>
  <c r="IT19" i="74"/>
  <c r="Z19" i="74"/>
  <c r="GT19" i="74" s="1"/>
  <c r="IK17" i="74"/>
  <c r="IT19" i="71"/>
  <c r="FO18" i="71"/>
  <c r="IP18" i="71" s="1"/>
  <c r="Y17" i="71"/>
  <c r="GM17" i="71" s="1"/>
  <c r="FE17" i="71"/>
  <c r="IO17" i="71" s="1"/>
  <c r="FW18" i="77"/>
  <c r="IL18" i="77"/>
  <c r="EU18" i="77"/>
  <c r="IN18" i="77" s="1"/>
  <c r="Y18" i="77"/>
  <c r="GM18" i="77" s="1"/>
  <c r="Y16" i="77"/>
  <c r="GM16" i="77" s="1"/>
  <c r="EU16" i="77"/>
  <c r="IN16" i="77" s="1"/>
  <c r="IT16" i="77" s="1"/>
  <c r="FW20" i="76"/>
  <c r="IL20" i="76"/>
  <c r="Y17" i="76"/>
  <c r="AB17" i="76" s="1"/>
  <c r="HH17" i="76" s="1"/>
  <c r="FM17" i="76"/>
  <c r="IK16" i="76"/>
  <c r="IT16" i="76"/>
  <c r="IT19" i="72"/>
  <c r="GG16" i="72"/>
  <c r="IM16" i="72"/>
  <c r="Z16" i="72"/>
  <c r="GT16" i="72" s="1"/>
  <c r="FC20" i="70"/>
  <c r="IJ20" i="70"/>
  <c r="EU20" i="70"/>
  <c r="IN20" i="70" s="1"/>
  <c r="FM20" i="70"/>
  <c r="IK20" i="70"/>
  <c r="Z20" i="70"/>
  <c r="IT20" i="70"/>
  <c r="ES20" i="70"/>
  <c r="II20" i="70"/>
  <c r="AB20" i="70"/>
  <c r="HH20" i="70" s="1"/>
  <c r="FW18" i="70"/>
  <c r="IL18" i="70"/>
  <c r="Z18" i="70"/>
  <c r="GT18" i="70" s="1"/>
  <c r="FW17" i="70"/>
  <c r="IL17" i="70"/>
  <c r="FO17" i="70"/>
  <c r="IP17" i="70" s="1"/>
  <c r="EY17" i="70"/>
  <c r="FC17" i="70" s="1"/>
  <c r="FI16" i="70"/>
  <c r="IK16" i="70" s="1"/>
  <c r="FW19" i="69"/>
  <c r="IL19" i="69"/>
  <c r="GG18" i="69"/>
  <c r="IM18" i="69"/>
  <c r="FW18" i="69"/>
  <c r="IL18" i="69"/>
  <c r="Z18" i="69"/>
  <c r="GT18" i="69" s="1"/>
  <c r="FW17" i="69"/>
  <c r="IL17" i="69"/>
  <c r="FW16" i="69"/>
  <c r="IL16" i="69"/>
  <c r="FW17" i="68"/>
  <c r="IL17" i="68"/>
  <c r="EU17" i="68"/>
  <c r="IN17" i="68" s="1"/>
  <c r="IT17" i="68" s="1"/>
  <c r="FW18" i="67"/>
  <c r="IL18" i="67"/>
  <c r="ES17" i="87"/>
  <c r="FW19" i="90"/>
  <c r="IL19" i="90"/>
  <c r="FM19" i="90"/>
  <c r="IJ19" i="90"/>
  <c r="ES19" i="90"/>
  <c r="II19" i="90"/>
  <c r="FW18" i="90"/>
  <c r="IL18" i="90"/>
  <c r="Z18" i="90"/>
  <c r="GT18" i="90" s="1"/>
  <c r="Y17" i="90"/>
  <c r="GM17" i="90" s="1"/>
  <c r="GG16" i="90"/>
  <c r="IM16" i="90"/>
  <c r="Z16" i="90"/>
  <c r="GT16" i="90" s="1"/>
  <c r="FW16" i="90"/>
  <c r="IL16" i="90"/>
  <c r="IL19" i="92"/>
  <c r="FW19" i="92"/>
  <c r="Y19" i="92"/>
  <c r="AB19" i="92" s="1"/>
  <c r="HH19" i="92" s="1"/>
  <c r="FM19" i="92"/>
  <c r="IK19" i="92"/>
  <c r="FC19" i="92"/>
  <c r="IJ19" i="92"/>
  <c r="IT19" i="92"/>
  <c r="ES19" i="92"/>
  <c r="II19" i="92"/>
  <c r="GM19" i="92"/>
  <c r="EO18" i="91"/>
  <c r="ES18" i="91" s="1"/>
  <c r="FW17" i="91"/>
  <c r="IL17" i="91"/>
  <c r="FI16" i="91"/>
  <c r="EO16" i="91"/>
  <c r="II16" i="91" s="1"/>
  <c r="Y19" i="89"/>
  <c r="GM19" i="89" s="1"/>
  <c r="GG16" i="89"/>
  <c r="IM16" i="89"/>
  <c r="FW16" i="89"/>
  <c r="IL16" i="89"/>
  <c r="EU18" i="88"/>
  <c r="IN18" i="88" s="1"/>
  <c r="IT18" i="88" s="1"/>
  <c r="IT16" i="88"/>
  <c r="EO16" i="88"/>
  <c r="ES16" i="88" s="1"/>
  <c r="Y18" i="87"/>
  <c r="GM18" i="87" s="1"/>
  <c r="GG17" i="87"/>
  <c r="IM17" i="87"/>
  <c r="FS17" i="87"/>
  <c r="FW17" i="87" s="1"/>
  <c r="EU17" i="87"/>
  <c r="IN17" i="87" s="1"/>
  <c r="IT17" i="87" s="1"/>
  <c r="Y16" i="87"/>
  <c r="GM16" i="87" s="1"/>
  <c r="Z16" i="87"/>
  <c r="GT16" i="87" s="1"/>
  <c r="EU16" i="87"/>
  <c r="IN16" i="87" s="1"/>
  <c r="IT16" i="87" s="1"/>
  <c r="FM19" i="86"/>
  <c r="IK19" i="86"/>
  <c r="Y19" i="86"/>
  <c r="GM19" i="86" s="1"/>
  <c r="Z19" i="86"/>
  <c r="GT19" i="86" s="1"/>
  <c r="IT19" i="86"/>
  <c r="FC19" i="86"/>
  <c r="IJ19" i="86"/>
  <c r="ES19" i="86"/>
  <c r="II19" i="86"/>
  <c r="IM17" i="86"/>
  <c r="GG17" i="86"/>
  <c r="FW17" i="86"/>
  <c r="IL17" i="86"/>
  <c r="IT19" i="85"/>
  <c r="FC19" i="85"/>
  <c r="ES19" i="85"/>
  <c r="II19" i="85"/>
  <c r="FI18" i="85"/>
  <c r="IK18" i="85" s="1"/>
  <c r="FE17" i="85"/>
  <c r="IO17" i="85" s="1"/>
  <c r="IT17" i="85" s="1"/>
  <c r="FW19" i="84"/>
  <c r="IL19" i="84"/>
  <c r="IT19" i="84"/>
  <c r="Y19" i="84"/>
  <c r="GM19" i="84" s="1"/>
  <c r="FM18" i="84"/>
  <c r="IK18" i="84"/>
  <c r="EY19" i="83"/>
  <c r="FC19" i="83" s="1"/>
  <c r="II19" i="83"/>
  <c r="EU19" i="83"/>
  <c r="IN19" i="83" s="1"/>
  <c r="IT19" i="83" s="1"/>
  <c r="EU17" i="83"/>
  <c r="IN17" i="83" s="1"/>
  <c r="IT17" i="83" s="1"/>
  <c r="Y18" i="82"/>
  <c r="GM18" i="82" s="1"/>
  <c r="FM17" i="82"/>
  <c r="IK17" i="82"/>
  <c r="FM20" i="81"/>
  <c r="IK20" i="81"/>
  <c r="IT20" i="81"/>
  <c r="IS20" i="81"/>
  <c r="Y20" i="81"/>
  <c r="GM20" i="81" s="1"/>
  <c r="Y19" i="81"/>
  <c r="GM19" i="81" s="1"/>
  <c r="IT19" i="81"/>
  <c r="FM19" i="81"/>
  <c r="IK19" i="81"/>
  <c r="II19" i="81"/>
  <c r="ES19" i="81"/>
  <c r="Y17" i="81"/>
  <c r="GM17" i="81" s="1"/>
  <c r="IL19" i="80"/>
  <c r="FW19" i="80"/>
  <c r="IT19" i="80"/>
  <c r="IK19" i="80"/>
  <c r="Z19" i="80"/>
  <c r="GT19" i="80" s="1"/>
  <c r="FC19" i="80"/>
  <c r="IJ19" i="80"/>
  <c r="Y19" i="80"/>
  <c r="GM19" i="80" s="1"/>
  <c r="ES19" i="80"/>
  <c r="II19" i="80"/>
  <c r="Y18" i="80"/>
  <c r="GM18" i="80" s="1"/>
  <c r="Z17" i="80"/>
  <c r="GT17" i="80" s="1"/>
  <c r="FO19" i="79"/>
  <c r="IP19" i="79" s="1"/>
  <c r="Z19" i="79"/>
  <c r="GT19" i="79" s="1"/>
  <c r="FO18" i="79"/>
  <c r="IP18" i="79" s="1"/>
  <c r="FE18" i="79"/>
  <c r="IO18" i="79" s="1"/>
  <c r="Y17" i="79"/>
  <c r="GM17" i="79" s="1"/>
  <c r="EY17" i="79"/>
  <c r="FC17" i="79" s="1"/>
  <c r="FI19" i="78"/>
  <c r="FM19" i="78" s="1"/>
  <c r="EU18" i="78"/>
  <c r="IN18" i="78" s="1"/>
  <c r="IT18" i="78" s="1"/>
  <c r="FM19" i="75"/>
  <c r="IK19" i="75"/>
  <c r="GM19" i="75"/>
  <c r="AB19" i="75"/>
  <c r="HH19" i="75" s="1"/>
  <c r="FC19" i="75"/>
  <c r="IJ19" i="75"/>
  <c r="AA19" i="75"/>
  <c r="HA19" i="75" s="1"/>
  <c r="II19" i="75"/>
  <c r="ES19" i="75"/>
  <c r="FW18" i="75"/>
  <c r="IL18" i="75"/>
  <c r="FW17" i="75"/>
  <c r="IL17" i="75"/>
  <c r="Z16" i="75"/>
  <c r="GT16" i="75" s="1"/>
  <c r="IT16" i="75"/>
  <c r="IT20" i="74"/>
  <c r="FM20" i="74"/>
  <c r="IK20" i="74"/>
  <c r="Z20" i="74"/>
  <c r="GT20" i="74" s="1"/>
  <c r="FC20" i="74"/>
  <c r="IJ20" i="74"/>
  <c r="Y20" i="74"/>
  <c r="GM20" i="74" s="1"/>
  <c r="ES20" i="74"/>
  <c r="II20" i="74"/>
  <c r="IM18" i="74"/>
  <c r="GG18" i="74"/>
  <c r="IK18" i="74"/>
  <c r="FM18" i="74"/>
  <c r="GG16" i="74"/>
  <c r="IM16" i="74"/>
  <c r="Y16" i="74"/>
  <c r="GM16" i="74" s="1"/>
  <c r="Y20" i="71"/>
  <c r="GM20" i="71" s="1"/>
  <c r="Z20" i="71"/>
  <c r="GT20" i="71" s="1"/>
  <c r="IT20" i="71"/>
  <c r="FC20" i="71"/>
  <c r="IJ20" i="71"/>
  <c r="ES20" i="71"/>
  <c r="II20" i="71"/>
  <c r="IS20" i="71" s="1"/>
  <c r="GG19" i="71"/>
  <c r="IM19" i="71"/>
  <c r="FW19" i="71"/>
  <c r="IL19" i="71"/>
  <c r="FM19" i="71"/>
  <c r="IK19" i="71"/>
  <c r="Y19" i="71"/>
  <c r="Z19" i="71"/>
  <c r="GT19" i="71" s="1"/>
  <c r="FC19" i="71"/>
  <c r="IJ19" i="71"/>
  <c r="ES19" i="71"/>
  <c r="II19" i="71"/>
  <c r="FE18" i="71"/>
  <c r="IO18" i="71" s="1"/>
  <c r="Z16" i="77"/>
  <c r="GT16" i="77" s="1"/>
  <c r="GG20" i="72"/>
  <c r="IM20" i="72"/>
  <c r="Y20" i="72"/>
  <c r="GM20" i="72" s="1"/>
  <c r="IL20" i="72"/>
  <c r="FW20" i="72"/>
  <c r="Z20" i="72"/>
  <c r="GT20" i="72" s="1"/>
  <c r="FM20" i="72"/>
  <c r="IK20" i="72"/>
  <c r="FC20" i="72"/>
  <c r="IJ20" i="72"/>
  <c r="IT20" i="72"/>
  <c r="ES20" i="72"/>
  <c r="II20" i="72"/>
  <c r="IS20" i="72" s="1"/>
  <c r="FW19" i="72"/>
  <c r="IL19" i="72"/>
  <c r="Z19" i="72"/>
  <c r="GT19" i="72" s="1"/>
  <c r="FM19" i="72"/>
  <c r="IK19" i="72"/>
  <c r="Y19" i="72"/>
  <c r="GM19" i="72" s="1"/>
  <c r="FC19" i="72"/>
  <c r="IJ19" i="72"/>
  <c r="ES19" i="72"/>
  <c r="II19" i="72"/>
  <c r="IL18" i="72"/>
  <c r="II18" i="72"/>
  <c r="ES18" i="72"/>
  <c r="GG17" i="72"/>
  <c r="IM17" i="72"/>
  <c r="FW17" i="72"/>
  <c r="IL17" i="72"/>
  <c r="FE17" i="72"/>
  <c r="IO17" i="72" s="1"/>
  <c r="IT17" i="72" s="1"/>
  <c r="EY17" i="72"/>
  <c r="FC17" i="72" s="1"/>
  <c r="FW16" i="72"/>
  <c r="IL16" i="72"/>
  <c r="EY16" i="72"/>
  <c r="FC16" i="72" s="1"/>
  <c r="GG19" i="70"/>
  <c r="IM19" i="70"/>
  <c r="FW19" i="70"/>
  <c r="IL19" i="70"/>
  <c r="Z19" i="70"/>
  <c r="GT19" i="70" s="1"/>
  <c r="IK19" i="70"/>
  <c r="FC19" i="70"/>
  <c r="IJ19" i="70"/>
  <c r="ES19" i="70"/>
  <c r="FI17" i="70"/>
  <c r="IK17" i="70" s="1"/>
  <c r="EY16" i="70"/>
  <c r="IJ16" i="70" s="1"/>
  <c r="FM19" i="69"/>
  <c r="IK19" i="69"/>
  <c r="IJ19" i="69"/>
  <c r="FC19" i="69"/>
  <c r="Z19" i="69"/>
  <c r="GT19" i="69" s="1"/>
  <c r="IT19" i="69"/>
  <c r="ES19" i="69"/>
  <c r="II19" i="69"/>
  <c r="AB19" i="69"/>
  <c r="HH19" i="69" s="1"/>
  <c r="EY18" i="69"/>
  <c r="FC18" i="69" s="1"/>
  <c r="Y17" i="69"/>
  <c r="EO17" i="69"/>
  <c r="ES17" i="69" s="1"/>
  <c r="EY16" i="69"/>
  <c r="EO16" i="69"/>
  <c r="ES16" i="69" s="1"/>
  <c r="IT19" i="68"/>
  <c r="FC19" i="68"/>
  <c r="IJ19" i="68"/>
  <c r="ES19" i="68"/>
  <c r="Y18" i="68"/>
  <c r="GM18" i="68" s="1"/>
  <c r="EO18" i="68"/>
  <c r="ES18" i="68" s="1"/>
  <c r="EU18" i="68"/>
  <c r="IN18" i="68" s="1"/>
  <c r="EO17" i="68"/>
  <c r="Z17" i="67"/>
  <c r="AB17" i="67" s="1"/>
  <c r="IL16" i="67"/>
  <c r="Q11" i="6"/>
  <c r="E57" i="68"/>
  <c r="IK19" i="89"/>
  <c r="FC19" i="89"/>
  <c r="IJ19" i="89"/>
  <c r="IT19" i="89"/>
  <c r="ES19" i="89"/>
  <c r="II19" i="89"/>
  <c r="IL18" i="89"/>
  <c r="FW18" i="89"/>
  <c r="Y18" i="89"/>
  <c r="AA18" i="89" s="1"/>
  <c r="HA18" i="89" s="1"/>
  <c r="FM18" i="89"/>
  <c r="IK18" i="89"/>
  <c r="FC18" i="89"/>
  <c r="IJ18" i="89"/>
  <c r="ES18" i="89"/>
  <c r="II18" i="89"/>
  <c r="IL17" i="89"/>
  <c r="FW17" i="89"/>
  <c r="FM17" i="89"/>
  <c r="IK17" i="89"/>
  <c r="FC17" i="89"/>
  <c r="IJ17" i="89"/>
  <c r="Y17" i="89"/>
  <c r="IT17" i="89"/>
  <c r="ES17" i="89"/>
  <c r="II17" i="89"/>
  <c r="FM16" i="89"/>
  <c r="IK16" i="89"/>
  <c r="FC16" i="89"/>
  <c r="IJ16" i="89"/>
  <c r="Y16" i="89"/>
  <c r="AA16" i="89" s="1"/>
  <c r="HA16" i="89" s="1"/>
  <c r="ES16" i="89"/>
  <c r="II16" i="89"/>
  <c r="FW19" i="88"/>
  <c r="IL19" i="88"/>
  <c r="FM19" i="88"/>
  <c r="IK19" i="88"/>
  <c r="FC19" i="88"/>
  <c r="IJ19" i="88"/>
  <c r="Z19" i="88"/>
  <c r="GT19" i="88" s="1"/>
  <c r="IT19" i="88"/>
  <c r="Y19" i="88"/>
  <c r="GM19" i="88" s="1"/>
  <c r="ES19" i="88"/>
  <c r="II19" i="88"/>
  <c r="FM18" i="90"/>
  <c r="IK18" i="90"/>
  <c r="IT18" i="90"/>
  <c r="Y18" i="90"/>
  <c r="GM18" i="90" s="1"/>
  <c r="FC18" i="90"/>
  <c r="IJ18" i="90"/>
  <c r="ES18" i="90"/>
  <c r="II18" i="90"/>
  <c r="IK17" i="90"/>
  <c r="IJ17" i="90"/>
  <c r="FC17" i="90"/>
  <c r="ES17" i="90"/>
  <c r="II17" i="90"/>
  <c r="GM16" i="90"/>
  <c r="IK16" i="90"/>
  <c r="IT16" i="90"/>
  <c r="FW20" i="83"/>
  <c r="IL20" i="83"/>
  <c r="IK20" i="83"/>
  <c r="FM20" i="83"/>
  <c r="Z20" i="83"/>
  <c r="GT20" i="83" s="1"/>
  <c r="IT20" i="83"/>
  <c r="FC20" i="83"/>
  <c r="IJ20" i="83"/>
  <c r="ES20" i="83"/>
  <c r="II20" i="83"/>
  <c r="FW19" i="83"/>
  <c r="IL19" i="83"/>
  <c r="FM19" i="83"/>
  <c r="IK19" i="83"/>
  <c r="Y19" i="83"/>
  <c r="GM19" i="83" s="1"/>
  <c r="IJ19" i="83"/>
  <c r="FW18" i="83"/>
  <c r="IL18" i="83"/>
  <c r="IT18" i="83"/>
  <c r="GG17" i="83"/>
  <c r="IM17" i="83"/>
  <c r="FW17" i="83"/>
  <c r="IL17" i="83"/>
  <c r="Y16" i="83"/>
  <c r="GM16" i="83" s="1"/>
  <c r="FM19" i="84"/>
  <c r="IK19" i="84"/>
  <c r="Z19" i="84"/>
  <c r="GT19" i="84" s="1"/>
  <c r="FC19" i="84"/>
  <c r="IJ19" i="84"/>
  <c r="ES19" i="84"/>
  <c r="II19" i="84"/>
  <c r="FC18" i="84"/>
  <c r="IJ18" i="84"/>
  <c r="EU18" i="84"/>
  <c r="IN18" i="84" s="1"/>
  <c r="IT18" i="84" s="1"/>
  <c r="GG17" i="84"/>
  <c r="IM17" i="84"/>
  <c r="FW17" i="84"/>
  <c r="IL17" i="84"/>
  <c r="FM17" i="84"/>
  <c r="IK17" i="84"/>
  <c r="ES17" i="84"/>
  <c r="II17" i="84"/>
  <c r="Z16" i="84"/>
  <c r="GT16" i="84" s="1"/>
  <c r="Y16" i="84"/>
  <c r="GM16" i="84" s="1"/>
  <c r="FI16" i="84"/>
  <c r="IK19" i="85"/>
  <c r="FM19" i="85"/>
  <c r="IS19" i="85"/>
  <c r="GM19" i="85"/>
  <c r="AA19" i="85"/>
  <c r="HA19" i="85" s="1"/>
  <c r="AB19" i="85"/>
  <c r="HH19" i="85" s="1"/>
  <c r="IJ18" i="85"/>
  <c r="FC18" i="85"/>
  <c r="Z17" i="85"/>
  <c r="GT17" i="85" s="1"/>
  <c r="GG16" i="85"/>
  <c r="IM16" i="85"/>
  <c r="Z17" i="87"/>
  <c r="GT17" i="87" s="1"/>
  <c r="GG20" i="79"/>
  <c r="IM20" i="79"/>
  <c r="Z20" i="79"/>
  <c r="GT20" i="79" s="1"/>
  <c r="Y20" i="79"/>
  <c r="IT20" i="79"/>
  <c r="FM20" i="79"/>
  <c r="IK20" i="79"/>
  <c r="FC20" i="79"/>
  <c r="IJ20" i="79"/>
  <c r="ES20" i="79"/>
  <c r="II20" i="79"/>
  <c r="GG19" i="79"/>
  <c r="IM19" i="79"/>
  <c r="IK19" i="79"/>
  <c r="FM19" i="79"/>
  <c r="IT19" i="79"/>
  <c r="Y19" i="79"/>
  <c r="ES19" i="79"/>
  <c r="II19" i="79"/>
  <c r="Y18" i="79"/>
  <c r="GM18" i="79" s="1"/>
  <c r="Z18" i="79"/>
  <c r="GT18" i="79" s="1"/>
  <c r="ES17" i="79"/>
  <c r="II17" i="79"/>
  <c r="GG16" i="79"/>
  <c r="IM16" i="79"/>
  <c r="IK16" i="79"/>
  <c r="FM16" i="79"/>
  <c r="Y16" i="79"/>
  <c r="GM16" i="79" s="1"/>
  <c r="FC16" i="79"/>
  <c r="IJ16" i="79"/>
  <c r="FW19" i="78"/>
  <c r="IL19" i="78"/>
  <c r="FC19" i="78"/>
  <c r="IJ19" i="78"/>
  <c r="Z19" i="78"/>
  <c r="GT19" i="78" s="1"/>
  <c r="Y18" i="78"/>
  <c r="GM18" i="78" s="1"/>
  <c r="FW17" i="78"/>
  <c r="IL17" i="78"/>
  <c r="IK17" i="78"/>
  <c r="FM17" i="78"/>
  <c r="EY17" i="78"/>
  <c r="FC17" i="78" s="1"/>
  <c r="Y16" i="78"/>
  <c r="GM16" i="78" s="1"/>
  <c r="Z18" i="82"/>
  <c r="GT18" i="82" s="1"/>
  <c r="IK16" i="82"/>
  <c r="FM16" i="82"/>
  <c r="Y18" i="81"/>
  <c r="GM18" i="81" s="1"/>
  <c r="GG17" i="81"/>
  <c r="IM17" i="81"/>
  <c r="FW17" i="81"/>
  <c r="IL17" i="81"/>
  <c r="Z16" i="81"/>
  <c r="GT16" i="81" s="1"/>
  <c r="IJ16" i="81"/>
  <c r="IT20" i="76"/>
  <c r="FM20" i="76"/>
  <c r="IK20" i="76"/>
  <c r="IJ20" i="76"/>
  <c r="IS20" i="76" s="1"/>
  <c r="FC20" i="76"/>
  <c r="Y20" i="76"/>
  <c r="GM20" i="76" s="1"/>
  <c r="IM19" i="76"/>
  <c r="GG19" i="76"/>
  <c r="IL19" i="76"/>
  <c r="FW19" i="76"/>
  <c r="IK19" i="76"/>
  <c r="FM19" i="76"/>
  <c r="Z19" i="76"/>
  <c r="GT19" i="76" s="1"/>
  <c r="IT19" i="76"/>
  <c r="IJ19" i="76"/>
  <c r="FC19" i="76"/>
  <c r="II19" i="76"/>
  <c r="ES19" i="76"/>
  <c r="GG18" i="76"/>
  <c r="IM18" i="76"/>
  <c r="Z18" i="76"/>
  <c r="GT18" i="76" s="1"/>
  <c r="FW18" i="76"/>
  <c r="IL18" i="76"/>
  <c r="FM18" i="76"/>
  <c r="IK18" i="76"/>
  <c r="FC18" i="76"/>
  <c r="Y18" i="76"/>
  <c r="GM18" i="76" s="1"/>
  <c r="II18" i="76"/>
  <c r="ES18" i="76"/>
  <c r="GG16" i="76"/>
  <c r="IM16" i="76"/>
  <c r="FW16" i="76"/>
  <c r="IL16" i="76"/>
  <c r="Y16" i="76"/>
  <c r="GM16" i="76" s="1"/>
  <c r="FC16" i="76"/>
  <c r="IJ16" i="76"/>
  <c r="FW18" i="92"/>
  <c r="IL18" i="92"/>
  <c r="FM18" i="92"/>
  <c r="IK18" i="92"/>
  <c r="IT18" i="92"/>
  <c r="FC18" i="92"/>
  <c r="IJ18" i="92"/>
  <c r="FW17" i="92"/>
  <c r="IL17" i="92"/>
  <c r="IT17" i="92"/>
  <c r="FM17" i="92"/>
  <c r="IK17" i="92"/>
  <c r="Y17" i="92"/>
  <c r="AB17" i="92" s="1"/>
  <c r="HH17" i="92" s="1"/>
  <c r="ES17" i="92"/>
  <c r="II17" i="92"/>
  <c r="GG16" i="92"/>
  <c r="IM16" i="92"/>
  <c r="IL16" i="92"/>
  <c r="FW16" i="92"/>
  <c r="Y16" i="92"/>
  <c r="GM16" i="92" s="1"/>
  <c r="IJ16" i="92"/>
  <c r="ES16" i="92"/>
  <c r="II16" i="92"/>
  <c r="FW19" i="77"/>
  <c r="IL19" i="77"/>
  <c r="FM19" i="77"/>
  <c r="IK19" i="77"/>
  <c r="FC19" i="77"/>
  <c r="IJ19" i="77"/>
  <c r="IT19" i="77"/>
  <c r="ES19" i="77"/>
  <c r="II19" i="77"/>
  <c r="Y17" i="77"/>
  <c r="GM17" i="77" s="1"/>
  <c r="FW17" i="77"/>
  <c r="IL17" i="77"/>
  <c r="IT17" i="77"/>
  <c r="II17" i="77"/>
  <c r="ES17" i="77"/>
  <c r="IJ17" i="76"/>
  <c r="II17" i="76"/>
  <c r="ES17" i="76"/>
  <c r="FM19" i="74"/>
  <c r="IK19" i="74"/>
  <c r="ES19" i="74"/>
  <c r="II19" i="74"/>
  <c r="IT18" i="74"/>
  <c r="Y18" i="74"/>
  <c r="GM18" i="74" s="1"/>
  <c r="II16" i="77"/>
  <c r="ES16" i="77"/>
  <c r="Z17" i="74"/>
  <c r="GT17" i="74" s="1"/>
  <c r="IT16" i="74"/>
  <c r="Z16" i="74"/>
  <c r="GT16" i="74" s="1"/>
  <c r="ES16" i="74"/>
  <c r="Z17" i="68"/>
  <c r="GT17" i="68" s="1"/>
  <c r="E57" i="80"/>
  <c r="B20" i="80"/>
  <c r="IT16" i="71"/>
  <c r="FI17" i="80"/>
  <c r="FM17" i="80" s="1"/>
  <c r="Z17" i="75"/>
  <c r="GT17" i="75" s="1"/>
  <c r="Z16" i="80"/>
  <c r="GT16" i="80" s="1"/>
  <c r="Z17" i="71"/>
  <c r="GT17" i="71" s="1"/>
  <c r="Y17" i="72"/>
  <c r="GM17" i="72" s="1"/>
  <c r="Z16" i="68"/>
  <c r="GT16" i="68" s="1"/>
  <c r="IT16" i="91"/>
  <c r="II18" i="82"/>
  <c r="ES18" i="82"/>
  <c r="Y18" i="69"/>
  <c r="GM18" i="69" s="1"/>
  <c r="Z17" i="72"/>
  <c r="GT17" i="72" s="1"/>
  <c r="E58" i="80"/>
  <c r="D20" i="91"/>
  <c r="Y18" i="70"/>
  <c r="GM18" i="70" s="1"/>
  <c r="FM18" i="91"/>
  <c r="IK18" i="91"/>
  <c r="IT18" i="80"/>
  <c r="Z18" i="75"/>
  <c r="GT18" i="75" s="1"/>
  <c r="IT18" i="69"/>
  <c r="Y18" i="72"/>
  <c r="FC18" i="91"/>
  <c r="IJ18" i="91"/>
  <c r="IT18" i="91"/>
  <c r="IT18" i="72"/>
  <c r="IT18" i="70"/>
  <c r="Z18" i="86"/>
  <c r="GT18" i="86" s="1"/>
  <c r="FM17" i="72"/>
  <c r="IK17" i="72"/>
  <c r="IK17" i="91"/>
  <c r="FM17" i="91"/>
  <c r="IT17" i="75"/>
  <c r="IT17" i="69"/>
  <c r="Y17" i="70"/>
  <c r="GM17" i="70" s="1"/>
  <c r="Y17" i="75"/>
  <c r="GM17" i="75" s="1"/>
  <c r="Y17" i="91"/>
  <c r="AB17" i="91" s="1"/>
  <c r="HH17" i="91" s="1"/>
  <c r="IJ17" i="91"/>
  <c r="II18" i="75"/>
  <c r="ES18" i="75"/>
  <c r="IT18" i="75"/>
  <c r="Z18" i="68"/>
  <c r="GT18" i="68" s="1"/>
  <c r="Z18" i="80"/>
  <c r="GT18" i="80" s="1"/>
  <c r="IJ16" i="86"/>
  <c r="FC16" i="86"/>
  <c r="Z16" i="69"/>
  <c r="GT16" i="69" s="1"/>
  <c r="Z16" i="86"/>
  <c r="GT16" i="86" s="1"/>
  <c r="Y16" i="91"/>
  <c r="GM16" i="91" s="1"/>
  <c r="Z16" i="70"/>
  <c r="GT16" i="70" s="1"/>
  <c r="Y16" i="75"/>
  <c r="E59" i="80"/>
  <c r="E57" i="72"/>
  <c r="E57" i="75"/>
  <c r="E61" i="72"/>
  <c r="E62" i="72" s="1"/>
  <c r="E63" i="72" s="1"/>
  <c r="E64" i="72" s="1"/>
  <c r="E65" i="72" s="1"/>
  <c r="E66" i="72" s="1"/>
  <c r="E57" i="86"/>
  <c r="E60" i="69"/>
  <c r="GG18" i="81"/>
  <c r="IM18" i="81"/>
  <c r="ES16" i="85"/>
  <c r="II16" i="85"/>
  <c r="FC16" i="83"/>
  <c r="IJ16" i="83"/>
  <c r="II17" i="85"/>
  <c r="IL18" i="88"/>
  <c r="FW18" i="88"/>
  <c r="ES16" i="82"/>
  <c r="II16" i="82"/>
  <c r="AA16" i="87"/>
  <c r="HA16" i="87" s="1"/>
  <c r="IK16" i="83"/>
  <c r="II16" i="86"/>
  <c r="ES16" i="86"/>
  <c r="ES18" i="86"/>
  <c r="II18" i="86"/>
  <c r="IL18" i="84"/>
  <c r="FW18" i="84"/>
  <c r="FC16" i="84"/>
  <c r="IJ16" i="84"/>
  <c r="FM18" i="87"/>
  <c r="IK18" i="87"/>
  <c r="II17" i="86"/>
  <c r="ES17" i="86"/>
  <c r="IL16" i="84"/>
  <c r="FW16" i="84"/>
  <c r="IK18" i="83"/>
  <c r="FM18" i="83"/>
  <c r="IK18" i="81"/>
  <c r="FM18" i="81"/>
  <c r="IK16" i="81"/>
  <c r="FM16" i="81"/>
  <c r="Z18" i="84"/>
  <c r="GT18" i="84" s="1"/>
  <c r="IJ17" i="82"/>
  <c r="FC17" i="82"/>
  <c r="II18" i="85"/>
  <c r="ES18" i="85"/>
  <c r="IK17" i="85"/>
  <c r="IJ17" i="84"/>
  <c r="FC17" i="84"/>
  <c r="ES16" i="84"/>
  <c r="II16" i="84"/>
  <c r="IL16" i="82"/>
  <c r="FW16" i="82"/>
  <c r="ES17" i="81"/>
  <c r="II17" i="81"/>
  <c r="II17" i="83"/>
  <c r="ES17" i="83"/>
  <c r="IJ17" i="81"/>
  <c r="FC17" i="81"/>
  <c r="Y16" i="88"/>
  <c r="IT16" i="85"/>
  <c r="IL18" i="82"/>
  <c r="FW18" i="82"/>
  <c r="IT17" i="81"/>
  <c r="FC18" i="87"/>
  <c r="IJ18" i="87"/>
  <c r="FC17" i="87"/>
  <c r="IJ17" i="87"/>
  <c r="IJ16" i="87"/>
  <c r="FC16" i="87"/>
  <c r="IL16" i="85"/>
  <c r="FW16" i="85"/>
  <c r="FM18" i="82"/>
  <c r="IK18" i="82"/>
  <c r="ES17" i="88"/>
  <c r="II17" i="88"/>
  <c r="FM16" i="85"/>
  <c r="IK16" i="85"/>
  <c r="FC18" i="82"/>
  <c r="IJ18" i="82"/>
  <c r="GG18" i="85"/>
  <c r="IM18" i="85"/>
  <c r="IM18" i="86"/>
  <c r="GG18" i="86"/>
  <c r="IT18" i="86"/>
  <c r="IT18" i="81"/>
  <c r="Y17" i="83"/>
  <c r="IT16" i="82"/>
  <c r="Y16" i="86"/>
  <c r="Z16" i="82"/>
  <c r="GT16" i="82" s="1"/>
  <c r="FM16" i="86"/>
  <c r="IK16" i="86"/>
  <c r="IJ17" i="88"/>
  <c r="FC17" i="88"/>
  <c r="FW16" i="88"/>
  <c r="IL16" i="88"/>
  <c r="FC17" i="83"/>
  <c r="IJ17" i="83"/>
  <c r="IT16" i="83"/>
  <c r="IK17" i="81"/>
  <c r="FM17" i="81"/>
  <c r="FM18" i="86"/>
  <c r="IK18" i="86"/>
  <c r="Y17" i="85"/>
  <c r="IL16" i="87"/>
  <c r="FW16" i="87"/>
  <c r="FM17" i="87"/>
  <c r="IK17" i="87"/>
  <c r="Y18" i="86"/>
  <c r="Y18" i="83"/>
  <c r="Y17" i="82"/>
  <c r="Y16" i="81"/>
  <c r="Z17" i="83"/>
  <c r="GT17" i="83" s="1"/>
  <c r="IT16" i="81"/>
  <c r="Y16" i="85"/>
  <c r="Z17" i="81"/>
  <c r="GT17" i="81" s="1"/>
  <c r="Y16" i="82"/>
  <c r="Z18" i="88"/>
  <c r="GT18" i="88" s="1"/>
  <c r="Y17" i="86"/>
  <c r="Y17" i="88"/>
  <c r="ES18" i="84"/>
  <c r="II18" i="84"/>
  <c r="IK17" i="83"/>
  <c r="FM17" i="83"/>
  <c r="IL18" i="87"/>
  <c r="FW18" i="87"/>
  <c r="IK17" i="86"/>
  <c r="FM17" i="86"/>
  <c r="Z18" i="85"/>
  <c r="GT18" i="85" s="1"/>
  <c r="Y18" i="85"/>
  <c r="IL18" i="85"/>
  <c r="FW18" i="85"/>
  <c r="Z16" i="85"/>
  <c r="GT16" i="85" s="1"/>
  <c r="Y17" i="84"/>
  <c r="IT16" i="84"/>
  <c r="IM18" i="83"/>
  <c r="GG18" i="83"/>
  <c r="Z18" i="83"/>
  <c r="GT18" i="83" s="1"/>
  <c r="II17" i="82"/>
  <c r="ES17" i="82"/>
  <c r="Z18" i="81"/>
  <c r="GT18" i="81" s="1"/>
  <c r="FC18" i="81"/>
  <c r="IJ18" i="81"/>
  <c r="ES16" i="81"/>
  <c r="II16" i="81"/>
  <c r="Z16" i="88"/>
  <c r="GT16" i="88" s="1"/>
  <c r="IJ18" i="79"/>
  <c r="FC18" i="79"/>
  <c r="FW16" i="79"/>
  <c r="IL16" i="79"/>
  <c r="IJ18" i="77"/>
  <c r="FC18" i="77"/>
  <c r="ES16" i="79"/>
  <c r="II16" i="79"/>
  <c r="FC18" i="80"/>
  <c r="IJ18" i="80"/>
  <c r="FW16" i="78"/>
  <c r="IL16" i="78"/>
  <c r="IK17" i="79"/>
  <c r="FM17" i="79"/>
  <c r="GG18" i="79"/>
  <c r="IM18" i="79"/>
  <c r="FM18" i="80"/>
  <c r="IK18" i="80"/>
  <c r="II18" i="79"/>
  <c r="ES18" i="79"/>
  <c r="IJ16" i="80"/>
  <c r="FC16" i="80"/>
  <c r="IM18" i="77"/>
  <c r="GG18" i="77"/>
  <c r="FC18" i="78"/>
  <c r="IJ18" i="78"/>
  <c r="FC17" i="77"/>
  <c r="IJ17" i="77"/>
  <c r="IJ16" i="75"/>
  <c r="FC16" i="75"/>
  <c r="ES16" i="76"/>
  <c r="II16" i="76"/>
  <c r="IT18" i="79"/>
  <c r="IJ17" i="75"/>
  <c r="FC17" i="75"/>
  <c r="GG18" i="78"/>
  <c r="IM18" i="78"/>
  <c r="IT16" i="79"/>
  <c r="ES18" i="78"/>
  <c r="II18" i="78"/>
  <c r="IJ18" i="75"/>
  <c r="FC18" i="75"/>
  <c r="FM16" i="77"/>
  <c r="IK16" i="77"/>
  <c r="FM18" i="77"/>
  <c r="IK18" i="77"/>
  <c r="FM17" i="77"/>
  <c r="IK17" i="77"/>
  <c r="IK18" i="75"/>
  <c r="FM18" i="75"/>
  <c r="IT17" i="79"/>
  <c r="Z16" i="78"/>
  <c r="GT16" i="78" s="1"/>
  <c r="IL18" i="78"/>
  <c r="FW18" i="78"/>
  <c r="IJ16" i="77"/>
  <c r="FC16" i="77"/>
  <c r="FC17" i="80"/>
  <c r="IJ17" i="80"/>
  <c r="ES17" i="78"/>
  <c r="II17" i="78"/>
  <c r="IL18" i="80"/>
  <c r="IK17" i="80"/>
  <c r="Z18" i="77"/>
  <c r="GT18" i="77" s="1"/>
  <c r="GG18" i="75"/>
  <c r="IM18" i="75"/>
  <c r="Z18" i="78"/>
  <c r="GT18" i="78" s="1"/>
  <c r="FM17" i="75"/>
  <c r="IK17" i="75"/>
  <c r="Z16" i="79"/>
  <c r="GT16" i="79" s="1"/>
  <c r="IJ16" i="78"/>
  <c r="FC16" i="78"/>
  <c r="FM16" i="75"/>
  <c r="IK16" i="75"/>
  <c r="Z16" i="76"/>
  <c r="GT16" i="76" s="1"/>
  <c r="FC18" i="74"/>
  <c r="IJ18" i="74"/>
  <c r="IL16" i="74"/>
  <c r="FW16" i="74"/>
  <c r="IL18" i="74"/>
  <c r="FW18" i="74"/>
  <c r="IJ17" i="74"/>
  <c r="FC17" i="74"/>
  <c r="HX16" i="67"/>
  <c r="Z18" i="71"/>
  <c r="GT18" i="71" s="1"/>
  <c r="GG18" i="71"/>
  <c r="IM18" i="71"/>
  <c r="IL18" i="71"/>
  <c r="FW18" i="71"/>
  <c r="FM18" i="71"/>
  <c r="IK18" i="71"/>
  <c r="Y18" i="71"/>
  <c r="ES18" i="71"/>
  <c r="II18" i="71"/>
  <c r="FM17" i="71"/>
  <c r="IK17" i="71"/>
  <c r="FC17" i="71"/>
  <c r="IJ17" i="71"/>
  <c r="IT17" i="71"/>
  <c r="ES17" i="71"/>
  <c r="II17" i="71"/>
  <c r="Y16" i="71"/>
  <c r="IL16" i="71"/>
  <c r="FW16" i="71"/>
  <c r="FM16" i="71"/>
  <c r="IK16" i="71"/>
  <c r="FC16" i="71"/>
  <c r="IJ16" i="71"/>
  <c r="Z16" i="71"/>
  <c r="GT16" i="71" s="1"/>
  <c r="ES16" i="71"/>
  <c r="II16" i="71"/>
  <c r="Y16" i="72"/>
  <c r="FM16" i="72"/>
  <c r="IK16" i="72"/>
  <c r="FM18" i="72"/>
  <c r="IK18" i="72"/>
  <c r="ES16" i="72"/>
  <c r="II16" i="72"/>
  <c r="IT17" i="70"/>
  <c r="Z17" i="70"/>
  <c r="GT17" i="70" s="1"/>
  <c r="IJ17" i="70"/>
  <c r="ES17" i="70"/>
  <c r="II17" i="70"/>
  <c r="ES18" i="70"/>
  <c r="II18" i="70"/>
  <c r="FM18" i="70"/>
  <c r="IK18" i="70"/>
  <c r="Y16" i="70"/>
  <c r="GM16" i="70" s="1"/>
  <c r="IT16" i="70"/>
  <c r="ES16" i="70"/>
  <c r="II16" i="70"/>
  <c r="II17" i="69"/>
  <c r="ES18" i="69"/>
  <c r="II18" i="69"/>
  <c r="FM18" i="69"/>
  <c r="IK18" i="69"/>
  <c r="FM17" i="69"/>
  <c r="IK17" i="69"/>
  <c r="IT16" i="69"/>
  <c r="GM16" i="69"/>
  <c r="FM18" i="68"/>
  <c r="IK18" i="68"/>
  <c r="IJ18" i="68"/>
  <c r="FC18" i="68"/>
  <c r="Y17" i="68"/>
  <c r="FC17" i="68"/>
  <c r="IJ17" i="68"/>
  <c r="IK16" i="68"/>
  <c r="Y16" i="68"/>
  <c r="GM16" i="68" s="1"/>
  <c r="IT16" i="68"/>
  <c r="II16" i="68"/>
  <c r="ES16" i="68"/>
  <c r="HV17" i="67"/>
  <c r="HO18" i="67"/>
  <c r="HU18" i="67"/>
  <c r="EY18" i="67" s="1"/>
  <c r="IJ18" i="67" s="1"/>
  <c r="HZ18" i="67"/>
  <c r="FO18" i="67" s="1"/>
  <c r="IP18" i="67" s="1"/>
  <c r="HT16" i="67"/>
  <c r="HP18" i="67"/>
  <c r="HW16" i="67"/>
  <c r="HX17" i="67"/>
  <c r="HQ18" i="67"/>
  <c r="HW18" i="67"/>
  <c r="HY18" i="67"/>
  <c r="FE18" i="67"/>
  <c r="IO18" i="67" s="1"/>
  <c r="HR18" i="67"/>
  <c r="EU18" i="67" s="1"/>
  <c r="IN18" i="67" s="1"/>
  <c r="HZ17" i="67"/>
  <c r="FO17" i="67" s="1"/>
  <c r="IP17" i="67" s="1"/>
  <c r="HY17" i="67"/>
  <c r="FI17" i="67" s="1"/>
  <c r="HS17" i="67"/>
  <c r="EY17" i="67" s="1"/>
  <c r="HT17" i="67"/>
  <c r="HQ17" i="67"/>
  <c r="HR17" i="67"/>
  <c r="EU17" i="67" s="1"/>
  <c r="IN17" i="67" s="1"/>
  <c r="HO17" i="67"/>
  <c r="HZ16" i="67"/>
  <c r="FO16" i="67" s="1"/>
  <c r="IP16" i="67" s="1"/>
  <c r="HY16" i="67"/>
  <c r="HU16" i="67"/>
  <c r="EY16" i="67" s="1"/>
  <c r="HV16" i="67"/>
  <c r="FE16" i="67" s="1"/>
  <c r="IO16" i="67" s="1"/>
  <c r="HO16" i="67"/>
  <c r="HP16" i="67"/>
  <c r="HQ16" i="67"/>
  <c r="HR16" i="67"/>
  <c r="EU16" i="67" s="1"/>
  <c r="IN16" i="67" s="1"/>
  <c r="GM17" i="67"/>
  <c r="GT18" i="67"/>
  <c r="E13" i="6"/>
  <c r="E14" i="6" s="1"/>
  <c r="E15" i="6" s="1"/>
  <c r="E16" i="6" s="1"/>
  <c r="E17" i="6" s="1"/>
  <c r="E19" i="6" s="1"/>
  <c r="E20" i="6" s="1"/>
  <c r="E21" i="6" s="1"/>
  <c r="E22" i="6" s="1"/>
  <c r="E23" i="6" s="1"/>
  <c r="E25" i="6" s="1"/>
  <c r="E26" i="6" s="1"/>
  <c r="E27" i="6" s="1"/>
  <c r="E28" i="6" s="1"/>
  <c r="E29" i="6" s="1"/>
  <c r="E31" i="6" s="1"/>
  <c r="E32" i="6" s="1"/>
  <c r="E33" i="6" s="1"/>
  <c r="E34" i="6" s="1"/>
  <c r="E35" i="6" s="1"/>
  <c r="E38" i="6" s="1"/>
  <c r="E39" i="6" s="1"/>
  <c r="E40" i="6" s="1"/>
  <c r="E41" i="6" s="1"/>
  <c r="E42" i="6" s="1"/>
  <c r="E44" i="6" s="1"/>
  <c r="E45" i="6" s="1"/>
  <c r="E46" i="6" s="1"/>
  <c r="E47" i="6" s="1"/>
  <c r="E48" i="6" s="1"/>
  <c r="E50" i="6" s="1"/>
  <c r="E51" i="6" s="1"/>
  <c r="E52" i="6" s="1"/>
  <c r="E53" i="6" s="1"/>
  <c r="E54" i="6" s="1"/>
  <c r="E56" i="6" s="1"/>
  <c r="E57" i="6" s="1"/>
  <c r="E58" i="6" s="1"/>
  <c r="E59" i="6" s="1"/>
  <c r="E60" i="6" s="1"/>
  <c r="B11" i="6"/>
  <c r="E8" i="6"/>
  <c r="GT21" i="89" l="1"/>
  <c r="FC18" i="72"/>
  <c r="IT16" i="72"/>
  <c r="IJ17" i="78"/>
  <c r="IJ19" i="82"/>
  <c r="IT18" i="82"/>
  <c r="II17" i="80"/>
  <c r="FM16" i="80"/>
  <c r="IJ16" i="74"/>
  <c r="IS19" i="75"/>
  <c r="AB19" i="77"/>
  <c r="HH19" i="77" s="1"/>
  <c r="IJ17" i="69"/>
  <c r="AA20" i="68"/>
  <c r="HA20" i="68" s="1"/>
  <c r="FM16" i="87"/>
  <c r="GM18" i="89"/>
  <c r="AB18" i="72"/>
  <c r="HH18" i="72" s="1"/>
  <c r="II17" i="72"/>
  <c r="II18" i="68"/>
  <c r="IK17" i="68"/>
  <c r="FM17" i="70"/>
  <c r="FC18" i="88"/>
  <c r="FC18" i="71"/>
  <c r="FM18" i="78"/>
  <c r="ES17" i="91"/>
  <c r="ES16" i="90"/>
  <c r="IS17" i="89"/>
  <c r="FC16" i="90"/>
  <c r="AB20" i="86"/>
  <c r="HH20" i="86" s="1"/>
  <c r="AA20" i="80"/>
  <c r="HA20" i="80" s="1"/>
  <c r="AB16" i="80"/>
  <c r="HH16" i="80" s="1"/>
  <c r="AA17" i="79"/>
  <c r="HA17" i="79" s="1"/>
  <c r="IT19" i="78"/>
  <c r="IT21" i="78" s="1"/>
  <c r="AA17" i="78"/>
  <c r="HA17" i="78" s="1"/>
  <c r="II16" i="78"/>
  <c r="IS16" i="78" s="1"/>
  <c r="IS19" i="74"/>
  <c r="IT18" i="71"/>
  <c r="AA19" i="77"/>
  <c r="HA19" i="77" s="1"/>
  <c r="IT19" i="70"/>
  <c r="AA17" i="69"/>
  <c r="HA17" i="69" s="1"/>
  <c r="AB19" i="68"/>
  <c r="HH19" i="68" s="1"/>
  <c r="IJ16" i="68"/>
  <c r="FC17" i="92"/>
  <c r="FC16" i="88"/>
  <c r="FW16" i="80"/>
  <c r="AB20" i="92"/>
  <c r="HH20" i="92" s="1"/>
  <c r="IS20" i="92"/>
  <c r="AB20" i="88"/>
  <c r="HH20" i="88" s="1"/>
  <c r="IS17" i="74"/>
  <c r="AA17" i="74"/>
  <c r="HA17" i="74" s="1"/>
  <c r="IS20" i="84"/>
  <c r="AA19" i="87"/>
  <c r="HA19" i="87" s="1"/>
  <c r="GT21" i="87"/>
  <c r="AB19" i="87"/>
  <c r="HH19" i="87" s="1"/>
  <c r="AB18" i="92"/>
  <c r="HH18" i="92" s="1"/>
  <c r="GT21" i="92"/>
  <c r="AA18" i="92"/>
  <c r="HA18" i="92" s="1"/>
  <c r="IJ16" i="72"/>
  <c r="IS16" i="72" s="1"/>
  <c r="AB16" i="72"/>
  <c r="HH16" i="72" s="1"/>
  <c r="IS19" i="67"/>
  <c r="AA16" i="67"/>
  <c r="FC16" i="70"/>
  <c r="AA20" i="89"/>
  <c r="HA20" i="89" s="1"/>
  <c r="FC18" i="70"/>
  <c r="AA16" i="74"/>
  <c r="HA16" i="74" s="1"/>
  <c r="FM16" i="92"/>
  <c r="FW19" i="79"/>
  <c r="AA20" i="71"/>
  <c r="HA20" i="71" s="1"/>
  <c r="AB20" i="89"/>
  <c r="HH20" i="89" s="1"/>
  <c r="GM17" i="78"/>
  <c r="GM21" i="78" s="1"/>
  <c r="II16" i="88"/>
  <c r="II18" i="91"/>
  <c r="AA17" i="67"/>
  <c r="HA17" i="67" s="1"/>
  <c r="GM17" i="76"/>
  <c r="AB20" i="79"/>
  <c r="HH20" i="79" s="1"/>
  <c r="AA17" i="80"/>
  <c r="HA17" i="80" s="1"/>
  <c r="IS20" i="80"/>
  <c r="AA17" i="68"/>
  <c r="HA17" i="68" s="1"/>
  <c r="AB17" i="78"/>
  <c r="HH17" i="78" s="1"/>
  <c r="ES16" i="91"/>
  <c r="IT18" i="68"/>
  <c r="IT21" i="68" s="1"/>
  <c r="AA19" i="81"/>
  <c r="HA19" i="81" s="1"/>
  <c r="IT18" i="77"/>
  <c r="IT21" i="77" s="1"/>
  <c r="IS20" i="89"/>
  <c r="AA17" i="89"/>
  <c r="HA17" i="89" s="1"/>
  <c r="GT21" i="91"/>
  <c r="AA18" i="91"/>
  <c r="HA18" i="91" s="1"/>
  <c r="AB18" i="91"/>
  <c r="HH18" i="91" s="1"/>
  <c r="II18" i="83"/>
  <c r="AB16" i="83"/>
  <c r="HH16" i="83" s="1"/>
  <c r="AA18" i="87"/>
  <c r="HA18" i="87" s="1"/>
  <c r="IL17" i="87"/>
  <c r="AA17" i="87"/>
  <c r="HA17" i="87" s="1"/>
  <c r="AB20" i="80"/>
  <c r="HH20" i="80" s="1"/>
  <c r="IS19" i="80"/>
  <c r="IT21" i="80"/>
  <c r="AB17" i="79"/>
  <c r="HH17" i="79" s="1"/>
  <c r="AB19" i="81"/>
  <c r="HH19" i="81" s="1"/>
  <c r="IT21" i="74"/>
  <c r="GT21" i="74"/>
  <c r="AA17" i="71"/>
  <c r="HA17" i="71" s="1"/>
  <c r="AA16" i="77"/>
  <c r="HA16" i="77" s="1"/>
  <c r="AA17" i="76"/>
  <c r="HA17" i="76" s="1"/>
  <c r="AB18" i="67"/>
  <c r="AA19" i="68"/>
  <c r="HA19" i="68" s="1"/>
  <c r="IJ18" i="69"/>
  <c r="IS18" i="69" s="1"/>
  <c r="AB18" i="69"/>
  <c r="HH18" i="69" s="1"/>
  <c r="GT21" i="69"/>
  <c r="IK16" i="69"/>
  <c r="II16" i="69"/>
  <c r="AB19" i="70"/>
  <c r="HH19" i="70" s="1"/>
  <c r="AA17" i="72"/>
  <c r="HA17" i="72" s="1"/>
  <c r="ES18" i="88"/>
  <c r="IK18" i="79"/>
  <c r="IS18" i="79" s="1"/>
  <c r="FC16" i="91"/>
  <c r="IJ17" i="72"/>
  <c r="AA19" i="74"/>
  <c r="HA19" i="74" s="1"/>
  <c r="IS18" i="92"/>
  <c r="AB19" i="89"/>
  <c r="HH19" i="89" s="1"/>
  <c r="GM19" i="70"/>
  <c r="GM21" i="70" s="1"/>
  <c r="IS20" i="74"/>
  <c r="IS20" i="70"/>
  <c r="AB19" i="82"/>
  <c r="HH19" i="82" s="1"/>
  <c r="IS20" i="87"/>
  <c r="AB20" i="87"/>
  <c r="HH20" i="87" s="1"/>
  <c r="AB18" i="74"/>
  <c r="HH18" i="74" s="1"/>
  <c r="AA18" i="70"/>
  <c r="HA18" i="70" s="1"/>
  <c r="IS16" i="74"/>
  <c r="AB16" i="74"/>
  <c r="HH16" i="74" s="1"/>
  <c r="IS17" i="78"/>
  <c r="AB18" i="80"/>
  <c r="HH18" i="80" s="1"/>
  <c r="IJ17" i="79"/>
  <c r="IS17" i="79" s="1"/>
  <c r="AB18" i="87"/>
  <c r="HH18" i="87" s="1"/>
  <c r="IS17" i="84"/>
  <c r="AB19" i="74"/>
  <c r="HH19" i="74" s="1"/>
  <c r="IS16" i="90"/>
  <c r="AA16" i="90"/>
  <c r="HA16" i="90" s="1"/>
  <c r="IS19" i="68"/>
  <c r="IS19" i="70"/>
  <c r="IS19" i="71"/>
  <c r="AA19" i="82"/>
  <c r="HA19" i="82" s="1"/>
  <c r="IS20" i="90"/>
  <c r="IS19" i="82"/>
  <c r="AB19" i="91"/>
  <c r="HH19" i="91" s="1"/>
  <c r="IT17" i="88"/>
  <c r="IT21" i="88" s="1"/>
  <c r="FM16" i="70"/>
  <c r="AA19" i="89"/>
  <c r="HA19" i="89" s="1"/>
  <c r="HA21" i="89" s="1"/>
  <c r="AB20" i="90"/>
  <c r="HH20" i="90" s="1"/>
  <c r="GT21" i="90"/>
  <c r="AA20" i="90"/>
  <c r="HA20" i="90" s="1"/>
  <c r="IS19" i="90"/>
  <c r="AA19" i="90"/>
  <c r="HA19" i="90" s="1"/>
  <c r="AB19" i="90"/>
  <c r="HH19" i="90" s="1"/>
  <c r="AB17" i="90"/>
  <c r="HH17" i="90" s="1"/>
  <c r="AA17" i="90"/>
  <c r="HA17" i="90" s="1"/>
  <c r="AB16" i="90"/>
  <c r="HH16" i="90" s="1"/>
  <c r="IS19" i="91"/>
  <c r="AA19" i="91"/>
  <c r="HA19" i="91" s="1"/>
  <c r="IS19" i="83"/>
  <c r="AA19" i="83"/>
  <c r="HA19" i="83" s="1"/>
  <c r="GM20" i="87"/>
  <c r="AA20" i="87"/>
  <c r="HA20" i="87" s="1"/>
  <c r="IS19" i="87"/>
  <c r="IT21" i="87"/>
  <c r="IS19" i="86"/>
  <c r="AB19" i="86"/>
  <c r="HH19" i="86" s="1"/>
  <c r="IT21" i="86"/>
  <c r="FM18" i="85"/>
  <c r="AA20" i="84"/>
  <c r="HA20" i="84" s="1"/>
  <c r="AB20" i="84"/>
  <c r="HH20" i="84" s="1"/>
  <c r="AA19" i="84"/>
  <c r="HA19" i="84" s="1"/>
  <c r="IS18" i="84"/>
  <c r="AB16" i="84"/>
  <c r="HH16" i="84" s="1"/>
  <c r="AB20" i="82"/>
  <c r="HH20" i="82" s="1"/>
  <c r="AA20" i="82"/>
  <c r="HA20" i="82" s="1"/>
  <c r="AA18" i="82"/>
  <c r="HA18" i="82" s="1"/>
  <c r="IS18" i="81"/>
  <c r="AA16" i="80"/>
  <c r="HA16" i="80" s="1"/>
  <c r="AA18" i="79"/>
  <c r="HA18" i="79" s="1"/>
  <c r="IK19" i="78"/>
  <c r="IS19" i="78" s="1"/>
  <c r="AA18" i="75"/>
  <c r="HA18" i="75" s="1"/>
  <c r="GT21" i="75"/>
  <c r="AB16" i="75"/>
  <c r="HH16" i="75" s="1"/>
  <c r="AB19" i="71"/>
  <c r="HH19" i="71" s="1"/>
  <c r="IT21" i="71"/>
  <c r="GT21" i="71"/>
  <c r="AB17" i="71"/>
  <c r="HH17" i="71" s="1"/>
  <c r="AB16" i="77"/>
  <c r="HH16" i="77" s="1"/>
  <c r="IT21" i="76"/>
  <c r="AA20" i="72"/>
  <c r="HA20" i="72" s="1"/>
  <c r="GT21" i="72"/>
  <c r="GT20" i="70"/>
  <c r="GT21" i="70" s="1"/>
  <c r="AA20" i="70"/>
  <c r="HA20" i="70" s="1"/>
  <c r="AA19" i="70"/>
  <c r="HA19" i="70" s="1"/>
  <c r="GM17" i="69"/>
  <c r="GM21" i="69" s="1"/>
  <c r="AB17" i="69"/>
  <c r="HH17" i="69" s="1"/>
  <c r="EO18" i="67"/>
  <c r="II18" i="67" s="1"/>
  <c r="FI16" i="67"/>
  <c r="FM16" i="67" s="1"/>
  <c r="GM19" i="71"/>
  <c r="AA18" i="90"/>
  <c r="HA18" i="90" s="1"/>
  <c r="GM21" i="90"/>
  <c r="AA19" i="92"/>
  <c r="HA19" i="92" s="1"/>
  <c r="IS19" i="92"/>
  <c r="AA17" i="92"/>
  <c r="HA17" i="92" s="1"/>
  <c r="IT21" i="91"/>
  <c r="IK16" i="91"/>
  <c r="IS16" i="91" s="1"/>
  <c r="FM16" i="91"/>
  <c r="AB18" i="89"/>
  <c r="HH18" i="89" s="1"/>
  <c r="IS18" i="89"/>
  <c r="IS18" i="87"/>
  <c r="AB17" i="87"/>
  <c r="HH17" i="87" s="1"/>
  <c r="AB16" i="87"/>
  <c r="HH16" i="87" s="1"/>
  <c r="AA19" i="86"/>
  <c r="HA19" i="86" s="1"/>
  <c r="AB19" i="84"/>
  <c r="HH19" i="84" s="1"/>
  <c r="AA16" i="84"/>
  <c r="HA16" i="84" s="1"/>
  <c r="GT21" i="84"/>
  <c r="AA16" i="83"/>
  <c r="HA16" i="83" s="1"/>
  <c r="GT21" i="82"/>
  <c r="AA20" i="81"/>
  <c r="HA20" i="81" s="1"/>
  <c r="AB20" i="81"/>
  <c r="HH20" i="81" s="1"/>
  <c r="IS19" i="81"/>
  <c r="AA19" i="80"/>
  <c r="HA19" i="80" s="1"/>
  <c r="AB19" i="80"/>
  <c r="HH19" i="80" s="1"/>
  <c r="GM21" i="80"/>
  <c r="AB17" i="80"/>
  <c r="HH17" i="80" s="1"/>
  <c r="GT21" i="80"/>
  <c r="AA19" i="79"/>
  <c r="HA19" i="79" s="1"/>
  <c r="AB18" i="79"/>
  <c r="HH18" i="79" s="1"/>
  <c r="IT21" i="75"/>
  <c r="AA20" i="74"/>
  <c r="HA20" i="74" s="1"/>
  <c r="AB20" i="74"/>
  <c r="HH20" i="74" s="1"/>
  <c r="IS18" i="74"/>
  <c r="AA18" i="74"/>
  <c r="HA18" i="74" s="1"/>
  <c r="AB17" i="74"/>
  <c r="HH17" i="74" s="1"/>
  <c r="AB20" i="71"/>
  <c r="HH20" i="71" s="1"/>
  <c r="AA19" i="71"/>
  <c r="HA19" i="71" s="1"/>
  <c r="AA18" i="71"/>
  <c r="HA18" i="71" s="1"/>
  <c r="AB16" i="71"/>
  <c r="HH16" i="71" s="1"/>
  <c r="AA16" i="71"/>
  <c r="HA16" i="71" s="1"/>
  <c r="GM16" i="71"/>
  <c r="AB17" i="77"/>
  <c r="HH17" i="77" s="1"/>
  <c r="AA17" i="77"/>
  <c r="HA17" i="77" s="1"/>
  <c r="IS16" i="77"/>
  <c r="GT21" i="76"/>
  <c r="AB20" i="72"/>
  <c r="HH20" i="72" s="1"/>
  <c r="AB19" i="72"/>
  <c r="HH19" i="72" s="1"/>
  <c r="IS19" i="72"/>
  <c r="AA19" i="72"/>
  <c r="HA19" i="72" s="1"/>
  <c r="IS18" i="72"/>
  <c r="AA18" i="72"/>
  <c r="HA18" i="72" s="1"/>
  <c r="AB17" i="72"/>
  <c r="HH17" i="72" s="1"/>
  <c r="AA16" i="72"/>
  <c r="HA16" i="72" s="1"/>
  <c r="AA17" i="70"/>
  <c r="HA17" i="70" s="1"/>
  <c r="IT21" i="70"/>
  <c r="AA19" i="69"/>
  <c r="HA19" i="69" s="1"/>
  <c r="IS19" i="69"/>
  <c r="AA18" i="69"/>
  <c r="HA18" i="69" s="1"/>
  <c r="FC16" i="69"/>
  <c r="IJ16" i="69"/>
  <c r="GT21" i="68"/>
  <c r="ES17" i="68"/>
  <c r="II17" i="68"/>
  <c r="AB16" i="68"/>
  <c r="HH16" i="68" s="1"/>
  <c r="FI18" i="67"/>
  <c r="FM18" i="67" s="1"/>
  <c r="EO17" i="67"/>
  <c r="ES17" i="67" s="1"/>
  <c r="EO16" i="67"/>
  <c r="ES16" i="67" s="1"/>
  <c r="GM16" i="72"/>
  <c r="GM18" i="72"/>
  <c r="GM17" i="92"/>
  <c r="GM21" i="92" s="1"/>
  <c r="Q12" i="6"/>
  <c r="Q13" i="6" s="1"/>
  <c r="IS19" i="89"/>
  <c r="GM17" i="89"/>
  <c r="AB17" i="89"/>
  <c r="HH17" i="89" s="1"/>
  <c r="IT21" i="89"/>
  <c r="IS16" i="89"/>
  <c r="AB16" i="89"/>
  <c r="HH16" i="89" s="1"/>
  <c r="GM16" i="89"/>
  <c r="AA19" i="88"/>
  <c r="HA19" i="88" s="1"/>
  <c r="AB19" i="88"/>
  <c r="HH19" i="88" s="1"/>
  <c r="IS19" i="88"/>
  <c r="GT21" i="88"/>
  <c r="AB18" i="88"/>
  <c r="HH18" i="88" s="1"/>
  <c r="IS18" i="88"/>
  <c r="AB18" i="90"/>
  <c r="HH18" i="90" s="1"/>
  <c r="IS18" i="90"/>
  <c r="IS17" i="90"/>
  <c r="IT21" i="90"/>
  <c r="AB20" i="83"/>
  <c r="HH20" i="83" s="1"/>
  <c r="AA20" i="83"/>
  <c r="HA20" i="83" s="1"/>
  <c r="IS20" i="83"/>
  <c r="AB19" i="83"/>
  <c r="HH19" i="83" s="1"/>
  <c r="GT21" i="83"/>
  <c r="IS16" i="83"/>
  <c r="IS19" i="84"/>
  <c r="AB18" i="84"/>
  <c r="HH18" i="84" s="1"/>
  <c r="FM16" i="84"/>
  <c r="IK16" i="84"/>
  <c r="IS16" i="84" s="1"/>
  <c r="GT21" i="85"/>
  <c r="IT21" i="85"/>
  <c r="IS16" i="87"/>
  <c r="AA20" i="79"/>
  <c r="HA20" i="79" s="1"/>
  <c r="GT21" i="79"/>
  <c r="GM20" i="79"/>
  <c r="IS20" i="79"/>
  <c r="IS19" i="79"/>
  <c r="GM19" i="79"/>
  <c r="AB19" i="79"/>
  <c r="HH19" i="79" s="1"/>
  <c r="IS16" i="79"/>
  <c r="AB16" i="79"/>
  <c r="HH16" i="79" s="1"/>
  <c r="AB19" i="78"/>
  <c r="HH19" i="78" s="1"/>
  <c r="AA19" i="78"/>
  <c r="HA19" i="78" s="1"/>
  <c r="AA18" i="78"/>
  <c r="HA18" i="78" s="1"/>
  <c r="GT21" i="78"/>
  <c r="AB18" i="82"/>
  <c r="HH18" i="82" s="1"/>
  <c r="AA18" i="81"/>
  <c r="HA18" i="81" s="1"/>
  <c r="AB18" i="81"/>
  <c r="HH18" i="81" s="1"/>
  <c r="AB17" i="81"/>
  <c r="HH17" i="81" s="1"/>
  <c r="GT21" i="81"/>
  <c r="IS16" i="81"/>
  <c r="AB20" i="76"/>
  <c r="HH20" i="76" s="1"/>
  <c r="AA20" i="76"/>
  <c r="HA20" i="76" s="1"/>
  <c r="AA19" i="76"/>
  <c r="HA19" i="76" s="1"/>
  <c r="IS19" i="76"/>
  <c r="AB19" i="76"/>
  <c r="HH19" i="76" s="1"/>
  <c r="AA18" i="76"/>
  <c r="HA18" i="76" s="1"/>
  <c r="IS18" i="76"/>
  <c r="GM21" i="76"/>
  <c r="AB18" i="76"/>
  <c r="HH18" i="76" s="1"/>
  <c r="IS16" i="76"/>
  <c r="IT21" i="92"/>
  <c r="IS17" i="92"/>
  <c r="AA16" i="92"/>
  <c r="HA16" i="92" s="1"/>
  <c r="AB16" i="92"/>
  <c r="HH16" i="92" s="1"/>
  <c r="HH21" i="92" s="1"/>
  <c r="IS16" i="92"/>
  <c r="GT21" i="77"/>
  <c r="IS19" i="77"/>
  <c r="GM21" i="77"/>
  <c r="IS17" i="76"/>
  <c r="IS18" i="77"/>
  <c r="AB18" i="70"/>
  <c r="HH18" i="70" s="1"/>
  <c r="IS17" i="80"/>
  <c r="IS18" i="75"/>
  <c r="AA17" i="75"/>
  <c r="HA17" i="75" s="1"/>
  <c r="AB18" i="75"/>
  <c r="HH18" i="75" s="1"/>
  <c r="AB16" i="69"/>
  <c r="HH16" i="69" s="1"/>
  <c r="IS16" i="75"/>
  <c r="AB17" i="75"/>
  <c r="HH17" i="75" s="1"/>
  <c r="IS17" i="70"/>
  <c r="IS17" i="86"/>
  <c r="D20" i="80"/>
  <c r="D20" i="86"/>
  <c r="D19" i="91"/>
  <c r="D19" i="75"/>
  <c r="IS18" i="80"/>
  <c r="IS18" i="86"/>
  <c r="AB18" i="68"/>
  <c r="HH18" i="68" s="1"/>
  <c r="AA18" i="68"/>
  <c r="HA18" i="68" s="1"/>
  <c r="IS18" i="91"/>
  <c r="IS18" i="70"/>
  <c r="GT21" i="86"/>
  <c r="IT21" i="69"/>
  <c r="IS17" i="91"/>
  <c r="AA17" i="91"/>
  <c r="HA17" i="91" s="1"/>
  <c r="GM17" i="91"/>
  <c r="GM21" i="91" s="1"/>
  <c r="IS17" i="69"/>
  <c r="IS17" i="75"/>
  <c r="AA18" i="80"/>
  <c r="HA18" i="80" s="1"/>
  <c r="AA16" i="70"/>
  <c r="HA16" i="70" s="1"/>
  <c r="AA16" i="91"/>
  <c r="HA16" i="91" s="1"/>
  <c r="IS16" i="70"/>
  <c r="IS16" i="86"/>
  <c r="AB16" i="91"/>
  <c r="HH16" i="91" s="1"/>
  <c r="IT21" i="72"/>
  <c r="IS16" i="80"/>
  <c r="GM16" i="75"/>
  <c r="GM21" i="75" s="1"/>
  <c r="AA16" i="68"/>
  <c r="HA16" i="68" s="1"/>
  <c r="AA16" i="69"/>
  <c r="HA16" i="69" s="1"/>
  <c r="AB16" i="70"/>
  <c r="HH16" i="70" s="1"/>
  <c r="AA16" i="75"/>
  <c r="HA16" i="75" s="1"/>
  <c r="AB17" i="84"/>
  <c r="HH17" i="84" s="1"/>
  <c r="AA17" i="84"/>
  <c r="HA17" i="84" s="1"/>
  <c r="GM17" i="84"/>
  <c r="GM21" i="84" s="1"/>
  <c r="AA18" i="85"/>
  <c r="HA18" i="85" s="1"/>
  <c r="AB18" i="85"/>
  <c r="HH18" i="85" s="1"/>
  <c r="GM18" i="85"/>
  <c r="AA17" i="86"/>
  <c r="HA17" i="86" s="1"/>
  <c r="AB17" i="86"/>
  <c r="HH17" i="86" s="1"/>
  <c r="GM17" i="86"/>
  <c r="AB16" i="82"/>
  <c r="HH16" i="82" s="1"/>
  <c r="AA16" i="82"/>
  <c r="HA16" i="82" s="1"/>
  <c r="GM16" i="82"/>
  <c r="AB16" i="81"/>
  <c r="HH16" i="81" s="1"/>
  <c r="AA16" i="81"/>
  <c r="HA16" i="81" s="1"/>
  <c r="GM16" i="81"/>
  <c r="GM21" i="81" s="1"/>
  <c r="AA18" i="86"/>
  <c r="HA18" i="86" s="1"/>
  <c r="AB18" i="86"/>
  <c r="HH18" i="86" s="1"/>
  <c r="GM18" i="86"/>
  <c r="GM17" i="83"/>
  <c r="AA17" i="83"/>
  <c r="HA17" i="83" s="1"/>
  <c r="AB17" i="83"/>
  <c r="HH17" i="83" s="1"/>
  <c r="IS17" i="85"/>
  <c r="IS16" i="85"/>
  <c r="IS17" i="82"/>
  <c r="AA17" i="85"/>
  <c r="HA17" i="85" s="1"/>
  <c r="GM17" i="85"/>
  <c r="AB17" i="85"/>
  <c r="HH17" i="85" s="1"/>
  <c r="AA16" i="86"/>
  <c r="HA16" i="86" s="1"/>
  <c r="AB16" i="86"/>
  <c r="HH16" i="86" s="1"/>
  <c r="GM16" i="86"/>
  <c r="AB16" i="88"/>
  <c r="HH16" i="88" s="1"/>
  <c r="AA16" i="88"/>
  <c r="HA16" i="88" s="1"/>
  <c r="GM16" i="88"/>
  <c r="IS17" i="81"/>
  <c r="IS16" i="88"/>
  <c r="GM21" i="87"/>
  <c r="AA16" i="85"/>
  <c r="HA16" i="85" s="1"/>
  <c r="AB16" i="85"/>
  <c r="HH16" i="85" s="1"/>
  <c r="GM16" i="85"/>
  <c r="IT21" i="83"/>
  <c r="IS18" i="82"/>
  <c r="IS17" i="88"/>
  <c r="AA18" i="84"/>
  <c r="HA18" i="84" s="1"/>
  <c r="IS17" i="87"/>
  <c r="IS17" i="83"/>
  <c r="IS18" i="85"/>
  <c r="AA18" i="88"/>
  <c r="HA18" i="88" s="1"/>
  <c r="IT21" i="84"/>
  <c r="AB17" i="88"/>
  <c r="HH17" i="88" s="1"/>
  <c r="AA17" i="88"/>
  <c r="HA17" i="88" s="1"/>
  <c r="GM17" i="88"/>
  <c r="IT21" i="81"/>
  <c r="GM17" i="82"/>
  <c r="AB17" i="82"/>
  <c r="HH17" i="82" s="1"/>
  <c r="AA17" i="82"/>
  <c r="HA17" i="82" s="1"/>
  <c r="AA18" i="83"/>
  <c r="HA18" i="83" s="1"/>
  <c r="GM18" i="83"/>
  <c r="AB18" i="83"/>
  <c r="HH18" i="83" s="1"/>
  <c r="IT21" i="82"/>
  <c r="AA17" i="81"/>
  <c r="HA17" i="81" s="1"/>
  <c r="IS18" i="83"/>
  <c r="IS16" i="82"/>
  <c r="AB18" i="78"/>
  <c r="HH18" i="78" s="1"/>
  <c r="AA18" i="77"/>
  <c r="HA18" i="77" s="1"/>
  <c r="AA16" i="78"/>
  <c r="HA16" i="78" s="1"/>
  <c r="AB16" i="78"/>
  <c r="HH16" i="78" s="1"/>
  <c r="AA16" i="76"/>
  <c r="HA16" i="76" s="1"/>
  <c r="AA16" i="79"/>
  <c r="HA16" i="79" s="1"/>
  <c r="IS18" i="78"/>
  <c r="IT21" i="79"/>
  <c r="IS17" i="77"/>
  <c r="AB16" i="76"/>
  <c r="HH16" i="76" s="1"/>
  <c r="AB18" i="77"/>
  <c r="HH18" i="77" s="1"/>
  <c r="GM21" i="74"/>
  <c r="IT18" i="67"/>
  <c r="FC18" i="67"/>
  <c r="GM16" i="67"/>
  <c r="FE17" i="67"/>
  <c r="IO17" i="67" s="1"/>
  <c r="IT17" i="67" s="1"/>
  <c r="GM18" i="71"/>
  <c r="IS18" i="71"/>
  <c r="AB18" i="71"/>
  <c r="HH18" i="71" s="1"/>
  <c r="IS17" i="71"/>
  <c r="IS16" i="71"/>
  <c r="AB17" i="70"/>
  <c r="HH17" i="70" s="1"/>
  <c r="IS18" i="68"/>
  <c r="GM17" i="68"/>
  <c r="GM21" i="68" s="1"/>
  <c r="AB17" i="68"/>
  <c r="HH17" i="68" s="1"/>
  <c r="IS16" i="68"/>
  <c r="GM18" i="67"/>
  <c r="IK17" i="67"/>
  <c r="FM17" i="67"/>
  <c r="FC17" i="67"/>
  <c r="IJ17" i="67"/>
  <c r="FC16" i="67"/>
  <c r="IJ16" i="67"/>
  <c r="IT16" i="67"/>
  <c r="HH16" i="67"/>
  <c r="K48" i="6"/>
  <c r="I48" i="6"/>
  <c r="K47" i="6"/>
  <c r="I47" i="6"/>
  <c r="K46" i="6"/>
  <c r="I46" i="6"/>
  <c r="K45" i="6"/>
  <c r="I45" i="6"/>
  <c r="K44" i="6"/>
  <c r="I44" i="6"/>
  <c r="B43" i="6"/>
  <c r="K42" i="6"/>
  <c r="I42" i="6"/>
  <c r="K41" i="6"/>
  <c r="I41" i="6"/>
  <c r="K40" i="6"/>
  <c r="I40" i="6"/>
  <c r="K39" i="6"/>
  <c r="I39" i="6"/>
  <c r="K38" i="6"/>
  <c r="I38" i="6"/>
  <c r="B38" i="6"/>
  <c r="B37" i="6"/>
  <c r="K59" i="6"/>
  <c r="I59" i="6"/>
  <c r="B59" i="6"/>
  <c r="K53" i="6"/>
  <c r="I53" i="6"/>
  <c r="B53" i="6"/>
  <c r="K34" i="6"/>
  <c r="B34" i="6"/>
  <c r="K28" i="6"/>
  <c r="I28" i="6"/>
  <c r="K22" i="6"/>
  <c r="I22" i="6"/>
  <c r="L16" i="6"/>
  <c r="K16" i="6"/>
  <c r="I16" i="6"/>
  <c r="K10" i="6"/>
  <c r="I10" i="6"/>
  <c r="E78" i="4"/>
  <c r="E79" i="4" s="1"/>
  <c r="E80" i="4" s="1"/>
  <c r="E81" i="4" s="1"/>
  <c r="E82" i="4" s="1"/>
  <c r="E83" i="4" s="1"/>
  <c r="E84" i="4" s="1"/>
  <c r="E85" i="4" s="1"/>
  <c r="IS17" i="72" l="1"/>
  <c r="IS17" i="68"/>
  <c r="IS21" i="68" s="1"/>
  <c r="HA21" i="75"/>
  <c r="HA21" i="77"/>
  <c r="IS21" i="74"/>
  <c r="IS21" i="75"/>
  <c r="HA21" i="87"/>
  <c r="II17" i="67"/>
  <c r="IS17" i="67" s="1"/>
  <c r="HH21" i="91"/>
  <c r="HA21" i="80"/>
  <c r="GM21" i="79"/>
  <c r="IK16" i="67"/>
  <c r="II16" i="67"/>
  <c r="HH21" i="69"/>
  <c r="IS16" i="69"/>
  <c r="IS21" i="69" s="1"/>
  <c r="ES18" i="67"/>
  <c r="HA21" i="91"/>
  <c r="HA21" i="69"/>
  <c r="HA21" i="90"/>
  <c r="HH21" i="80"/>
  <c r="HH21" i="90"/>
  <c r="HH21" i="87"/>
  <c r="HA21" i="86"/>
  <c r="IS21" i="86"/>
  <c r="IS21" i="84"/>
  <c r="HH21" i="84"/>
  <c r="HA21" i="78"/>
  <c r="HH21" i="75"/>
  <c r="HH21" i="74"/>
  <c r="HA21" i="72"/>
  <c r="IS21" i="70"/>
  <c r="IK18" i="67"/>
  <c r="IS18" i="67" s="1"/>
  <c r="AC11" i="92"/>
  <c r="AX53" i="92" s="1"/>
  <c r="A1" i="92"/>
  <c r="IS21" i="90"/>
  <c r="HA21" i="92"/>
  <c r="IS21" i="91"/>
  <c r="IS21" i="89"/>
  <c r="HH21" i="89"/>
  <c r="GM21" i="89"/>
  <c r="HH21" i="88"/>
  <c r="HA21" i="88"/>
  <c r="IS21" i="87"/>
  <c r="HH21" i="86"/>
  <c r="HA21" i="85"/>
  <c r="HH21" i="85"/>
  <c r="HA21" i="84"/>
  <c r="HH21" i="83"/>
  <c r="IS21" i="83"/>
  <c r="HA21" i="83"/>
  <c r="HA21" i="82"/>
  <c r="HH21" i="82"/>
  <c r="HH21" i="81"/>
  <c r="HA21" i="81"/>
  <c r="IS21" i="81"/>
  <c r="IS21" i="80"/>
  <c r="HA21" i="79"/>
  <c r="IS21" i="79"/>
  <c r="HH21" i="79"/>
  <c r="HH21" i="78"/>
  <c r="HA21" i="74"/>
  <c r="HA21" i="71"/>
  <c r="GM21" i="71"/>
  <c r="HH21" i="71"/>
  <c r="HH21" i="77"/>
  <c r="HA21" i="76"/>
  <c r="HH21" i="76"/>
  <c r="HH21" i="72"/>
  <c r="IS21" i="72"/>
  <c r="GM21" i="72"/>
  <c r="HA21" i="70"/>
  <c r="HH21" i="70"/>
  <c r="HA21" i="68"/>
  <c r="HH21" i="68"/>
  <c r="Q14" i="6"/>
  <c r="AC11" i="87"/>
  <c r="AX53" i="87" s="1"/>
  <c r="A1" i="87"/>
  <c r="IS21" i="88"/>
  <c r="GM21" i="88"/>
  <c r="GM21" i="83"/>
  <c r="IS21" i="78"/>
  <c r="IS21" i="82"/>
  <c r="GM21" i="82"/>
  <c r="IS21" i="76"/>
  <c r="IS21" i="92"/>
  <c r="IS21" i="77"/>
  <c r="IT21" i="67"/>
  <c r="D19" i="86"/>
  <c r="D19" i="80"/>
  <c r="GM21" i="67"/>
  <c r="GM21" i="85"/>
  <c r="GM21" i="86"/>
  <c r="IS21" i="85"/>
  <c r="HA18" i="67"/>
  <c r="HA16" i="67"/>
  <c r="HH18" i="67"/>
  <c r="GT17" i="67"/>
  <c r="GT21" i="67" s="1"/>
  <c r="IS21" i="71"/>
  <c r="HH17" i="67"/>
  <c r="L22" i="6"/>
  <c r="E88" i="4"/>
  <c r="AT25" i="93"/>
  <c r="AV9" i="93"/>
  <c r="U11" i="93"/>
  <c r="AL21" i="93"/>
  <c r="AG23" i="93"/>
  <c r="H19" i="93"/>
  <c r="H13" i="93"/>
  <c r="AY21" i="93"/>
  <c r="AJ15" i="93"/>
  <c r="AT19" i="93"/>
  <c r="AO19" i="93"/>
  <c r="AB9" i="93"/>
  <c r="AV25" i="93"/>
  <c r="F13" i="93"/>
  <c r="P13" i="93"/>
  <c r="AJ13" i="93"/>
  <c r="AE21" i="93"/>
  <c r="AB11" i="93"/>
  <c r="F19" i="93"/>
  <c r="K19" i="93"/>
  <c r="AQ19" i="93"/>
  <c r="M11" i="93"/>
  <c r="Z9" i="93"/>
  <c r="AB17" i="93"/>
  <c r="U15" i="93"/>
  <c r="AJ17" i="93"/>
  <c r="AB19" i="93"/>
  <c r="AT21" i="93"/>
  <c r="AV17" i="93"/>
  <c r="P7" i="93"/>
  <c r="F11" i="93"/>
  <c r="BA7" i="93"/>
  <c r="AT17" i="93"/>
  <c r="W19" i="93"/>
  <c r="R7" i="93"/>
  <c r="R13" i="93"/>
  <c r="AJ25" i="93"/>
  <c r="AO17" i="93"/>
  <c r="K15" i="93"/>
  <c r="U7" i="93"/>
  <c r="P15" i="93"/>
  <c r="AL25" i="93"/>
  <c r="K7" i="93"/>
  <c r="M23" i="93"/>
  <c r="AO23" i="93"/>
  <c r="AO25" i="93"/>
  <c r="AY23" i="93"/>
  <c r="AE23" i="93"/>
  <c r="R9" i="93"/>
  <c r="AJ7" i="93"/>
  <c r="AV21" i="93"/>
  <c r="W11" i="93"/>
  <c r="Z17" i="93"/>
  <c r="P9" i="93"/>
  <c r="H11" i="93"/>
  <c r="AB13" i="93"/>
  <c r="AY7" i="93"/>
  <c r="AG19" i="93"/>
  <c r="M19" i="93"/>
  <c r="AQ17" i="93"/>
  <c r="BA23" i="93"/>
  <c r="Z19" i="93"/>
  <c r="W15" i="93"/>
  <c r="AE19" i="93"/>
  <c r="Z11" i="93"/>
  <c r="Z13" i="93"/>
  <c r="K23" i="93"/>
  <c r="H25" i="93"/>
  <c r="BA21" i="93"/>
  <c r="AJ9" i="93"/>
  <c r="M15" i="93"/>
  <c r="U19" i="93"/>
  <c r="AL23" i="93"/>
  <c r="K11" i="93"/>
  <c r="AG15" i="93"/>
  <c r="F25" i="93"/>
  <c r="AQ25" i="93"/>
  <c r="AQ23" i="93"/>
  <c r="BA19" i="93"/>
  <c r="AL7" i="93"/>
  <c r="W7" i="93"/>
  <c r="R15" i="93"/>
  <c r="AG21" i="93"/>
  <c r="AL15" i="93"/>
  <c r="H9" i="93"/>
  <c r="F9" i="93"/>
  <c r="AV19" i="93"/>
  <c r="M7" i="93"/>
  <c r="AT9" i="93"/>
  <c r="AJ21" i="93"/>
  <c r="AY19" i="93"/>
  <c r="AE15" i="93"/>
  <c r="AJ23" i="93"/>
  <c r="AL9" i="93"/>
  <c r="AL13" i="93"/>
  <c r="AL17" i="93"/>
  <c r="AT24" i="93" l="1"/>
  <c r="IS16" i="67"/>
  <c r="IS21" i="67" s="1"/>
  <c r="AJ20" i="93"/>
  <c r="AJ6" i="93"/>
  <c r="F18" i="93"/>
  <c r="AO18" i="93"/>
  <c r="U18" i="93"/>
  <c r="V19" i="93"/>
  <c r="AK13" i="93"/>
  <c r="AJ12" i="93"/>
  <c r="G19" i="93"/>
  <c r="AK7" i="93"/>
  <c r="AK21" i="93"/>
  <c r="AP19" i="93"/>
  <c r="AY18" i="93"/>
  <c r="P12" i="93"/>
  <c r="AO22" i="93"/>
  <c r="Z16" i="93"/>
  <c r="AB21" i="92"/>
  <c r="CI21" i="92" s="1"/>
  <c r="AA17" i="93"/>
  <c r="AF15" i="93"/>
  <c r="AE14" i="93"/>
  <c r="AP23" i="93"/>
  <c r="AT20" i="93"/>
  <c r="AU21" i="93"/>
  <c r="AJ16" i="93"/>
  <c r="Z12" i="93"/>
  <c r="F10" i="93"/>
  <c r="AK25" i="93"/>
  <c r="AJ24" i="93"/>
  <c r="AZ19" i="93"/>
  <c r="AE20" i="93"/>
  <c r="Z10" i="93"/>
  <c r="AT18" i="93"/>
  <c r="HH21" i="67"/>
  <c r="AU25" i="93"/>
  <c r="AY22" i="93"/>
  <c r="AZ23" i="93"/>
  <c r="Q13" i="93"/>
  <c r="U10" i="93"/>
  <c r="V11" i="93"/>
  <c r="G9" i="93"/>
  <c r="F8" i="93"/>
  <c r="L7" i="93"/>
  <c r="K6" i="93"/>
  <c r="AF19" i="93"/>
  <c r="AE18" i="93"/>
  <c r="AK17" i="93"/>
  <c r="F24" i="93"/>
  <c r="AY6" i="93"/>
  <c r="AZ7" i="93"/>
  <c r="G25" i="93"/>
  <c r="AA13" i="93"/>
  <c r="U14" i="93"/>
  <c r="V15" i="93"/>
  <c r="K10" i="93"/>
  <c r="L11" i="93"/>
  <c r="P8" i="93"/>
  <c r="Q9" i="93"/>
  <c r="AY20" i="93"/>
  <c r="AZ21" i="93"/>
  <c r="AP25" i="93"/>
  <c r="AO24" i="93"/>
  <c r="AT16" i="93"/>
  <c r="AU17" i="93"/>
  <c r="AE22" i="93"/>
  <c r="AF23" i="93"/>
  <c r="Z8" i="93"/>
  <c r="AA9" i="93"/>
  <c r="K14" i="93"/>
  <c r="L15" i="93"/>
  <c r="G11" i="93"/>
  <c r="P6" i="93"/>
  <c r="Q7" i="93"/>
  <c r="AF21" i="93"/>
  <c r="AP17" i="93"/>
  <c r="AO16" i="93"/>
  <c r="AT8" i="93"/>
  <c r="L23" i="93"/>
  <c r="K22" i="93"/>
  <c r="AU9" i="93"/>
  <c r="AA11" i="93"/>
  <c r="Q15" i="93"/>
  <c r="P14" i="93"/>
  <c r="F12" i="93"/>
  <c r="U6" i="93"/>
  <c r="V7" i="93"/>
  <c r="G13" i="93"/>
  <c r="AJ22" i="93"/>
  <c r="AK23" i="93"/>
  <c r="AU19" i="93"/>
  <c r="Z18" i="93"/>
  <c r="AA19" i="93"/>
  <c r="AJ14" i="93"/>
  <c r="AK15" i="93"/>
  <c r="AJ8" i="93"/>
  <c r="L19" i="93"/>
  <c r="K18" i="93"/>
  <c r="AK9" i="93"/>
  <c r="HA21" i="67"/>
  <c r="AB21" i="91"/>
  <c r="Q15" i="6"/>
  <c r="B39" i="6"/>
  <c r="B41" i="6"/>
  <c r="L28" i="6"/>
  <c r="L34" i="6" s="1"/>
  <c r="L41" i="6" s="1"/>
  <c r="E89" i="4"/>
  <c r="AJ11" i="93"/>
  <c r="R19" i="93"/>
  <c r="P19" i="93"/>
  <c r="AL11" i="93"/>
  <c r="AJ10" i="93" l="1"/>
  <c r="AK11" i="93"/>
  <c r="Q19" i="93"/>
  <c r="P18" i="93"/>
  <c r="BC18" i="93" s="1"/>
  <c r="BF18" i="93" s="1"/>
  <c r="Q16" i="6"/>
  <c r="B40" i="6"/>
  <c r="E90" i="4"/>
  <c r="I7" i="6"/>
  <c r="C10" i="93"/>
  <c r="C12" i="93"/>
  <c r="C18" i="93" l="1"/>
  <c r="AC11" i="91"/>
  <c r="AX53" i="91" s="1"/>
  <c r="A1" i="91"/>
  <c r="AC11" i="72"/>
  <c r="AX53" i="72" s="1"/>
  <c r="A1" i="72"/>
  <c r="Q17" i="6"/>
  <c r="AC11" i="83"/>
  <c r="AX53" i="83" s="1"/>
  <c r="A1" i="83"/>
  <c r="AC11" i="79"/>
  <c r="AX53" i="79" s="1"/>
  <c r="A1" i="79"/>
  <c r="AC11" i="77"/>
  <c r="AX53" i="77" s="1"/>
  <c r="A1" i="77"/>
  <c r="A1" i="89"/>
  <c r="AC11" i="89"/>
  <c r="AX53" i="89" s="1"/>
  <c r="AC11" i="84"/>
  <c r="AX53" i="84" s="1"/>
  <c r="A1" i="84"/>
  <c r="AC11" i="80"/>
  <c r="AX53" i="80" s="1"/>
  <c r="A1" i="80"/>
  <c r="CI21" i="91"/>
  <c r="AC11" i="71"/>
  <c r="AX53" i="71" s="1"/>
  <c r="A1" i="68"/>
  <c r="A1" i="71"/>
  <c r="AC11" i="68"/>
  <c r="AX53" i="68" s="1"/>
  <c r="AC11" i="70"/>
  <c r="AX53" i="70" s="1"/>
  <c r="A1" i="70"/>
  <c r="H31" i="6"/>
  <c r="H16" i="6"/>
  <c r="G9" i="6"/>
  <c r="H51" i="6"/>
  <c r="G46" i="6"/>
  <c r="G23" i="6"/>
  <c r="H29" i="6"/>
  <c r="H57" i="6"/>
  <c r="G38" i="6"/>
  <c r="G57" i="6"/>
  <c r="G50" i="6"/>
  <c r="H44" i="6"/>
  <c r="H39" i="6"/>
  <c r="H28" i="6"/>
  <c r="H14" i="6"/>
  <c r="G7" i="6"/>
  <c r="G33" i="6"/>
  <c r="G21" i="6"/>
  <c r="G59" i="6"/>
  <c r="H46" i="6"/>
  <c r="G35" i="6"/>
  <c r="G53" i="6"/>
  <c r="H42" i="6"/>
  <c r="H20" i="6"/>
  <c r="G27" i="6"/>
  <c r="G13" i="6"/>
  <c r="H7" i="6"/>
  <c r="B42" i="6"/>
  <c r="E91" i="4"/>
  <c r="I25" i="6"/>
  <c r="C2" i="7"/>
  <c r="C28" i="7" s="1"/>
  <c r="Q18" i="6" l="1"/>
  <c r="Q19" i="6" s="1"/>
  <c r="AC11" i="90"/>
  <c r="AX53" i="90" s="1"/>
  <c r="AC11" i="81"/>
  <c r="AX53" i="81" s="1"/>
  <c r="A1" i="81"/>
  <c r="AC11" i="74"/>
  <c r="AX53" i="74" s="1"/>
  <c r="A1" i="90"/>
  <c r="A1" i="74"/>
  <c r="AC11" i="86"/>
  <c r="AX53" i="86" s="1"/>
  <c r="A1" i="86"/>
  <c r="H41" i="6"/>
  <c r="H19" i="6"/>
  <c r="H58" i="6"/>
  <c r="H53" i="6"/>
  <c r="G14" i="6"/>
  <c r="G47" i="6"/>
  <c r="G34" i="6"/>
  <c r="G25" i="6"/>
  <c r="H9" i="6"/>
  <c r="B44" i="6"/>
  <c r="E92" i="4"/>
  <c r="N7" i="6"/>
  <c r="R8" i="6"/>
  <c r="P8" i="6"/>
  <c r="I60" i="6"/>
  <c r="I58" i="6"/>
  <c r="I57" i="6"/>
  <c r="I56" i="6"/>
  <c r="I54" i="6"/>
  <c r="I52" i="6"/>
  <c r="I51" i="6"/>
  <c r="I50" i="6"/>
  <c r="I29" i="6"/>
  <c r="I27" i="6"/>
  <c r="I26" i="6"/>
  <c r="I23" i="6"/>
  <c r="I21" i="6"/>
  <c r="I20" i="6"/>
  <c r="I19" i="6"/>
  <c r="I11" i="6"/>
  <c r="K11" i="6"/>
  <c r="E69" i="4"/>
  <c r="E60" i="4"/>
  <c r="E51" i="4"/>
  <c r="E42" i="4"/>
  <c r="E33" i="4"/>
  <c r="E24" i="4"/>
  <c r="E15" i="4"/>
  <c r="E6" i="4"/>
  <c r="AC13" i="82" l="1"/>
  <c r="Q20" i="6"/>
  <c r="AC13" i="80"/>
  <c r="AC13" i="84"/>
  <c r="AC13" i="89"/>
  <c r="AC13" i="91"/>
  <c r="B47" i="6"/>
  <c r="B45" i="6"/>
  <c r="R9" i="6"/>
  <c r="R10" i="6"/>
  <c r="P9" i="6"/>
  <c r="P10" i="6"/>
  <c r="E93" i="4"/>
  <c r="E25" i="4"/>
  <c r="E61" i="4"/>
  <c r="E34" i="4"/>
  <c r="E70" i="4"/>
  <c r="E7" i="4"/>
  <c r="E43" i="4"/>
  <c r="E16" i="4"/>
  <c r="E52" i="4"/>
  <c r="R11" i="6" l="1"/>
  <c r="R12" i="6" s="1"/>
  <c r="R13" i="6" s="1"/>
  <c r="P11" i="6"/>
  <c r="P12" i="6" s="1"/>
  <c r="P13" i="6" s="1"/>
  <c r="Q21" i="6"/>
  <c r="B48" i="6"/>
  <c r="B46" i="6"/>
  <c r="E94" i="4"/>
  <c r="E53" i="4"/>
  <c r="E44" i="4"/>
  <c r="E71" i="4"/>
  <c r="E62" i="4"/>
  <c r="E17" i="4"/>
  <c r="E8" i="4"/>
  <c r="E35" i="4"/>
  <c r="E26" i="4"/>
  <c r="IR20" i="28"/>
  <c r="IM20" i="28"/>
  <c r="IH20" i="28"/>
  <c r="IG20" i="28"/>
  <c r="IF20" i="28"/>
  <c r="IE20" i="28"/>
  <c r="IT20" i="29"/>
  <c r="IS20" i="29"/>
  <c r="IR20" i="29"/>
  <c r="IQ20" i="29"/>
  <c r="IP20" i="29"/>
  <c r="IO20" i="29"/>
  <c r="IN20" i="29"/>
  <c r="IM20" i="29"/>
  <c r="IL20" i="29"/>
  <c r="IK20" i="29"/>
  <c r="IJ20" i="29"/>
  <c r="II20" i="29"/>
  <c r="IH20" i="29"/>
  <c r="IG20" i="29"/>
  <c r="IF20" i="29"/>
  <c r="IE20" i="29"/>
  <c r="ID20" i="29"/>
  <c r="IC20" i="29"/>
  <c r="IB20" i="29"/>
  <c r="IA20" i="29"/>
  <c r="HZ20" i="29"/>
  <c r="HY20" i="29"/>
  <c r="HX20" i="29"/>
  <c r="HW20" i="29"/>
  <c r="HV20" i="29"/>
  <c r="HU20" i="29"/>
  <c r="HT20" i="29"/>
  <c r="HS20" i="29"/>
  <c r="HR20" i="29"/>
  <c r="HQ20" i="29"/>
  <c r="HP20" i="29"/>
  <c r="HO20" i="29"/>
  <c r="IR19" i="29"/>
  <c r="IQ19" i="29"/>
  <c r="IM19" i="29"/>
  <c r="IL19" i="29"/>
  <c r="IH19" i="29"/>
  <c r="IG19" i="29"/>
  <c r="IF19" i="29"/>
  <c r="IE19" i="29"/>
  <c r="ID19" i="29"/>
  <c r="IC19" i="29"/>
  <c r="IB19" i="29"/>
  <c r="IA19" i="29"/>
  <c r="IR20" i="30"/>
  <c r="IQ20" i="30"/>
  <c r="IM20" i="30"/>
  <c r="IL20" i="30"/>
  <c r="IH20" i="30"/>
  <c r="IG20" i="30"/>
  <c r="IF20" i="30"/>
  <c r="IE20" i="30"/>
  <c r="ID20" i="30"/>
  <c r="IC20" i="30"/>
  <c r="IB20" i="30"/>
  <c r="IA20" i="30"/>
  <c r="IR18" i="30"/>
  <c r="IM18" i="30"/>
  <c r="IH18" i="30"/>
  <c r="IG18" i="30"/>
  <c r="IF18" i="30"/>
  <c r="IE18" i="30"/>
  <c r="IR17" i="30"/>
  <c r="IM17" i="30"/>
  <c r="IH17" i="30"/>
  <c r="IG17" i="30"/>
  <c r="IF17" i="30"/>
  <c r="IE17" i="30"/>
  <c r="IR19" i="31"/>
  <c r="IM19" i="31"/>
  <c r="IH19" i="31"/>
  <c r="IG19" i="31"/>
  <c r="IF19" i="31"/>
  <c r="IE19" i="31"/>
  <c r="IR17" i="31"/>
  <c r="IM17" i="31"/>
  <c r="IH17" i="31"/>
  <c r="IG17" i="31"/>
  <c r="IF17" i="31"/>
  <c r="IE17" i="31"/>
  <c r="IR16" i="31"/>
  <c r="IM16" i="31"/>
  <c r="IH16" i="31"/>
  <c r="IG16" i="31"/>
  <c r="IF16" i="31"/>
  <c r="IE16" i="31"/>
  <c r="IR20" i="23"/>
  <c r="IQ20" i="23"/>
  <c r="IM20" i="23"/>
  <c r="IL20" i="23"/>
  <c r="IH20" i="23"/>
  <c r="IG20" i="23"/>
  <c r="IF20" i="23"/>
  <c r="IE20" i="23"/>
  <c r="ID20" i="23"/>
  <c r="IC20" i="23"/>
  <c r="IB20" i="23"/>
  <c r="IA20" i="23"/>
  <c r="IR17" i="23"/>
  <c r="IM17" i="23"/>
  <c r="IH17" i="23"/>
  <c r="IG17" i="23"/>
  <c r="IF17" i="23"/>
  <c r="IE17" i="23"/>
  <c r="IR20" i="24"/>
  <c r="IM20" i="24"/>
  <c r="IH20" i="24"/>
  <c r="IG20" i="24"/>
  <c r="IF20" i="24"/>
  <c r="IE20" i="24"/>
  <c r="IT20" i="25"/>
  <c r="IS20" i="25"/>
  <c r="IR20" i="25"/>
  <c r="IQ20" i="25"/>
  <c r="IP20" i="25"/>
  <c r="IO20" i="25"/>
  <c r="IN20" i="25"/>
  <c r="IM20" i="25"/>
  <c r="IL20" i="25"/>
  <c r="IK20" i="25"/>
  <c r="IJ20" i="25"/>
  <c r="II20" i="25"/>
  <c r="IH20" i="25"/>
  <c r="IG20" i="25"/>
  <c r="IF20" i="25"/>
  <c r="IE20" i="25"/>
  <c r="ID20" i="25"/>
  <c r="IC20" i="25"/>
  <c r="IB20" i="25"/>
  <c r="IA20" i="25"/>
  <c r="HZ20" i="25"/>
  <c r="HY20" i="25"/>
  <c r="HX20" i="25"/>
  <c r="HW20" i="25"/>
  <c r="HV20" i="25"/>
  <c r="HU20" i="25"/>
  <c r="HT20" i="25"/>
  <c r="HS20" i="25"/>
  <c r="HR20" i="25"/>
  <c r="HQ20" i="25"/>
  <c r="HP20" i="25"/>
  <c r="HO20" i="25"/>
  <c r="IR19" i="25"/>
  <c r="IQ19" i="25"/>
  <c r="IM19" i="25"/>
  <c r="IL19" i="25"/>
  <c r="IH19" i="25"/>
  <c r="IG19" i="25"/>
  <c r="IF19" i="25"/>
  <c r="IE19" i="25"/>
  <c r="ID19" i="25"/>
  <c r="IC19" i="25"/>
  <c r="IB19" i="25"/>
  <c r="IA19" i="25"/>
  <c r="IR18" i="25"/>
  <c r="IM18" i="25"/>
  <c r="IH18" i="25"/>
  <c r="IG18" i="25"/>
  <c r="IF18" i="25"/>
  <c r="IE18" i="25"/>
  <c r="IR20" i="26"/>
  <c r="IQ20" i="26"/>
  <c r="IM20" i="26"/>
  <c r="IL20" i="26"/>
  <c r="IH20" i="26"/>
  <c r="IG20" i="26"/>
  <c r="IF20" i="26"/>
  <c r="IE20" i="26"/>
  <c r="ID20" i="26"/>
  <c r="IC20" i="26"/>
  <c r="IB20" i="26"/>
  <c r="IA20" i="26"/>
  <c r="IR18" i="26"/>
  <c r="IM18" i="26"/>
  <c r="IH18" i="26"/>
  <c r="IG18" i="26"/>
  <c r="IF18" i="26"/>
  <c r="IE18" i="26"/>
  <c r="IT20" i="17"/>
  <c r="IS20" i="17"/>
  <c r="IR20" i="17"/>
  <c r="IQ20" i="17"/>
  <c r="IP20" i="17"/>
  <c r="IO20" i="17"/>
  <c r="IN20" i="17"/>
  <c r="IM20" i="17"/>
  <c r="IL20" i="17"/>
  <c r="IK20" i="17"/>
  <c r="IJ20" i="17"/>
  <c r="II20" i="17"/>
  <c r="IH20" i="17"/>
  <c r="IG20" i="17"/>
  <c r="IF20" i="17"/>
  <c r="IE20" i="17"/>
  <c r="ID20" i="17"/>
  <c r="IC20" i="17"/>
  <c r="IB20" i="17"/>
  <c r="IA20" i="17"/>
  <c r="HZ20" i="17"/>
  <c r="HY20" i="17"/>
  <c r="HX20" i="17"/>
  <c r="HW20" i="17"/>
  <c r="HV20" i="17"/>
  <c r="HU20" i="17"/>
  <c r="HT20" i="17"/>
  <c r="HS20" i="17"/>
  <c r="HR20" i="17"/>
  <c r="HQ20" i="17"/>
  <c r="HP20" i="17"/>
  <c r="HO20" i="17"/>
  <c r="IR19" i="17"/>
  <c r="IM19" i="17"/>
  <c r="IH19" i="17"/>
  <c r="IG19" i="17"/>
  <c r="IF19" i="17"/>
  <c r="IE19" i="17"/>
  <c r="IR17" i="17"/>
  <c r="IM17" i="17"/>
  <c r="IH17" i="17"/>
  <c r="IG17" i="17"/>
  <c r="IF17" i="17"/>
  <c r="IE17" i="17"/>
  <c r="IR20" i="19"/>
  <c r="IM20" i="19"/>
  <c r="IH20" i="19"/>
  <c r="IG20" i="19"/>
  <c r="IF20" i="19"/>
  <c r="IE20" i="19"/>
  <c r="IR18" i="19"/>
  <c r="IM18" i="19"/>
  <c r="IH18" i="19"/>
  <c r="IG18" i="19"/>
  <c r="IF18" i="19"/>
  <c r="IE18" i="19"/>
  <c r="IT20" i="20"/>
  <c r="IS20" i="20"/>
  <c r="IR20" i="20"/>
  <c r="IQ20" i="20"/>
  <c r="IP20" i="20"/>
  <c r="IO20" i="20"/>
  <c r="IN20" i="20"/>
  <c r="IM20" i="20"/>
  <c r="IL20" i="20"/>
  <c r="IK20" i="20"/>
  <c r="IJ20" i="20"/>
  <c r="II20" i="20"/>
  <c r="IH20" i="20"/>
  <c r="IG20" i="20"/>
  <c r="IF20" i="20"/>
  <c r="IE20" i="20"/>
  <c r="ID20" i="20"/>
  <c r="IC20" i="20"/>
  <c r="IB20" i="20"/>
  <c r="IA20" i="20"/>
  <c r="HZ20" i="20"/>
  <c r="HY20" i="20"/>
  <c r="HX20" i="20"/>
  <c r="HW20" i="20"/>
  <c r="HV20" i="20"/>
  <c r="HU20" i="20"/>
  <c r="HT20" i="20"/>
  <c r="HS20" i="20"/>
  <c r="HR20" i="20"/>
  <c r="HQ20" i="20"/>
  <c r="HP20" i="20"/>
  <c r="HO20" i="20"/>
  <c r="IR17" i="20"/>
  <c r="IQ17" i="20"/>
  <c r="IM17" i="20"/>
  <c r="IL17" i="20"/>
  <c r="IH17" i="20"/>
  <c r="IG17" i="20"/>
  <c r="IF17" i="20"/>
  <c r="IE17" i="20"/>
  <c r="ID17" i="20"/>
  <c r="IC17" i="20"/>
  <c r="IB17" i="20"/>
  <c r="IA17" i="20"/>
  <c r="IR16" i="20"/>
  <c r="IM16" i="20"/>
  <c r="IH16" i="20"/>
  <c r="IG16" i="20"/>
  <c r="IF16" i="20"/>
  <c r="IE16" i="20"/>
  <c r="IR20" i="21"/>
  <c r="IQ20" i="21"/>
  <c r="IM20" i="21"/>
  <c r="IL20" i="21"/>
  <c r="IH20" i="21"/>
  <c r="IG20" i="21"/>
  <c r="IF20" i="21"/>
  <c r="IE20" i="21"/>
  <c r="ID20" i="21"/>
  <c r="IC20" i="21"/>
  <c r="IB20" i="21"/>
  <c r="IA20" i="21"/>
  <c r="IR18" i="21"/>
  <c r="IM18" i="21"/>
  <c r="IH18" i="21"/>
  <c r="IG18" i="21"/>
  <c r="IF18" i="21"/>
  <c r="IE18" i="21"/>
  <c r="IT20" i="13"/>
  <c r="IS20" i="13"/>
  <c r="IR20" i="13"/>
  <c r="IQ20" i="13"/>
  <c r="IP20" i="13"/>
  <c r="IO20" i="13"/>
  <c r="IN20" i="13"/>
  <c r="IM20" i="13"/>
  <c r="IL20" i="13"/>
  <c r="IK20" i="13"/>
  <c r="IJ20" i="13"/>
  <c r="II20" i="13"/>
  <c r="IH20" i="13"/>
  <c r="IG20" i="13"/>
  <c r="IF20" i="13"/>
  <c r="IE20" i="13"/>
  <c r="ID20" i="13"/>
  <c r="IC20" i="13"/>
  <c r="IB20" i="13"/>
  <c r="IA20" i="13"/>
  <c r="HZ20" i="13"/>
  <c r="HY20" i="13"/>
  <c r="HX20" i="13"/>
  <c r="HW20" i="13"/>
  <c r="HV20" i="13"/>
  <c r="HU20" i="13"/>
  <c r="HT20" i="13"/>
  <c r="HS20" i="13"/>
  <c r="HR20" i="13"/>
  <c r="HQ20" i="13"/>
  <c r="HP20" i="13"/>
  <c r="HO20" i="13"/>
  <c r="IT20" i="14"/>
  <c r="IS20" i="14"/>
  <c r="IR20" i="14"/>
  <c r="IQ20" i="14"/>
  <c r="IP20" i="14"/>
  <c r="IO20" i="14"/>
  <c r="IN20" i="14"/>
  <c r="IM20" i="14"/>
  <c r="IL20" i="14"/>
  <c r="IK20" i="14"/>
  <c r="IJ20" i="14"/>
  <c r="II20" i="14"/>
  <c r="IH20" i="14"/>
  <c r="IG20" i="14"/>
  <c r="IF20" i="14"/>
  <c r="IE20" i="14"/>
  <c r="ID20" i="14"/>
  <c r="IC20" i="14"/>
  <c r="IB20" i="14"/>
  <c r="IA20" i="14"/>
  <c r="HZ20" i="14"/>
  <c r="HY20" i="14"/>
  <c r="HX20" i="14"/>
  <c r="HW20" i="14"/>
  <c r="HV20" i="14"/>
  <c r="HU20" i="14"/>
  <c r="HT20" i="14"/>
  <c r="HS20" i="14"/>
  <c r="HR20" i="14"/>
  <c r="HQ20" i="14"/>
  <c r="HP20" i="14"/>
  <c r="HO20" i="14"/>
  <c r="IR16" i="14"/>
  <c r="IM16" i="14"/>
  <c r="IH16" i="14"/>
  <c r="IG16" i="14"/>
  <c r="IF16" i="14"/>
  <c r="IE16" i="14"/>
  <c r="IR20" i="15"/>
  <c r="IM20" i="15"/>
  <c r="IH20" i="15"/>
  <c r="IG20" i="15"/>
  <c r="IF20" i="15"/>
  <c r="IE20" i="15"/>
  <c r="IR20" i="16"/>
  <c r="IQ20" i="16"/>
  <c r="IM20" i="16"/>
  <c r="IL20" i="16"/>
  <c r="IH20" i="16"/>
  <c r="IG20" i="16"/>
  <c r="IF20" i="16"/>
  <c r="IE20" i="16"/>
  <c r="ID20" i="16"/>
  <c r="IC20" i="16"/>
  <c r="IB20" i="16"/>
  <c r="IA20" i="16"/>
  <c r="IR16" i="16"/>
  <c r="IM16" i="16"/>
  <c r="IH16" i="16"/>
  <c r="IG16" i="16"/>
  <c r="IF16" i="16"/>
  <c r="IE16" i="16"/>
  <c r="IT20" i="5"/>
  <c r="IS20" i="5"/>
  <c r="IR20" i="5"/>
  <c r="IQ20" i="5"/>
  <c r="IP20" i="5"/>
  <c r="IO20" i="5"/>
  <c r="IN20" i="5"/>
  <c r="IM20" i="5"/>
  <c r="IL20" i="5"/>
  <c r="IK20" i="5"/>
  <c r="IJ20" i="5"/>
  <c r="II20" i="5"/>
  <c r="IH20" i="5"/>
  <c r="IG20" i="5"/>
  <c r="IF20" i="5"/>
  <c r="IE20" i="5"/>
  <c r="ID20" i="5"/>
  <c r="IC20" i="5"/>
  <c r="IB20" i="5"/>
  <c r="IA20" i="5"/>
  <c r="HZ20" i="5"/>
  <c r="HY20" i="5"/>
  <c r="HX20" i="5"/>
  <c r="HW20" i="5"/>
  <c r="HV20" i="5"/>
  <c r="HU20" i="5"/>
  <c r="HT20" i="5"/>
  <c r="HS20" i="5"/>
  <c r="HR20" i="5"/>
  <c r="HQ20" i="5"/>
  <c r="HP20" i="5"/>
  <c r="HO20" i="5"/>
  <c r="IR16" i="5"/>
  <c r="IM16" i="5"/>
  <c r="IH16" i="5"/>
  <c r="IG16" i="5"/>
  <c r="IF16" i="5"/>
  <c r="IE16" i="5"/>
  <c r="IR20" i="8"/>
  <c r="IM20" i="8"/>
  <c r="IH20" i="8"/>
  <c r="IG20" i="8"/>
  <c r="IF20" i="8"/>
  <c r="IE20" i="8"/>
  <c r="IR19" i="8"/>
  <c r="IM19" i="8"/>
  <c r="IH19" i="8"/>
  <c r="IG19" i="8"/>
  <c r="IF19" i="8"/>
  <c r="IE19" i="8"/>
  <c r="IR18" i="8"/>
  <c r="IM18" i="8"/>
  <c r="IH18" i="8"/>
  <c r="IG18" i="8"/>
  <c r="IF18" i="8"/>
  <c r="IE18" i="8"/>
  <c r="IR16" i="8"/>
  <c r="IM16" i="8"/>
  <c r="IH16" i="8"/>
  <c r="IG16" i="8"/>
  <c r="IF16" i="8"/>
  <c r="IE16" i="8"/>
  <c r="IT20" i="10"/>
  <c r="IS20" i="10"/>
  <c r="IR20" i="10"/>
  <c r="IQ20" i="10"/>
  <c r="IP20" i="10"/>
  <c r="IO20" i="10"/>
  <c r="IN20" i="10"/>
  <c r="IM20" i="10"/>
  <c r="IL20" i="10"/>
  <c r="IK20" i="10"/>
  <c r="IJ20" i="10"/>
  <c r="II20" i="10"/>
  <c r="IH20" i="10"/>
  <c r="IG20" i="10"/>
  <c r="IF20" i="10"/>
  <c r="IE20" i="10"/>
  <c r="ID20" i="10"/>
  <c r="IC20" i="10"/>
  <c r="IB20" i="10"/>
  <c r="IA20" i="10"/>
  <c r="HZ20" i="10"/>
  <c r="HY20" i="10"/>
  <c r="HX20" i="10"/>
  <c r="HW20" i="10"/>
  <c r="HV20" i="10"/>
  <c r="HU20" i="10"/>
  <c r="HT20" i="10"/>
  <c r="HS20" i="10"/>
  <c r="HR20" i="10"/>
  <c r="HQ20" i="10"/>
  <c r="HP20" i="10"/>
  <c r="HO20" i="10"/>
  <c r="IR19" i="10"/>
  <c r="IM19" i="10"/>
  <c r="IH19" i="10"/>
  <c r="IG19" i="10"/>
  <c r="IF19" i="10"/>
  <c r="IE19" i="10"/>
  <c r="IR17" i="10"/>
  <c r="IM17" i="10"/>
  <c r="IH17" i="10"/>
  <c r="IG17" i="10"/>
  <c r="IF17" i="10"/>
  <c r="IE17" i="10"/>
  <c r="IR16" i="10"/>
  <c r="IM16" i="10"/>
  <c r="IH16" i="10"/>
  <c r="IG16" i="10"/>
  <c r="IF16" i="10"/>
  <c r="IE16" i="10"/>
  <c r="Q22" i="6" l="1"/>
  <c r="E36" i="4"/>
  <c r="E18" i="4"/>
  <c r="E72" i="4"/>
  <c r="E54" i="4"/>
  <c r="E63" i="4"/>
  <c r="E45" i="4"/>
  <c r="E27" i="4"/>
  <c r="E9" i="4"/>
  <c r="R14" i="6"/>
  <c r="P14" i="6"/>
  <c r="R16" i="6" l="1"/>
  <c r="Q23" i="6"/>
  <c r="P16" i="6"/>
  <c r="E10" i="4"/>
  <c r="E55" i="4"/>
  <c r="E19" i="4"/>
  <c r="E46" i="4"/>
  <c r="E28" i="4"/>
  <c r="E64" i="4"/>
  <c r="E73" i="4"/>
  <c r="E37" i="4"/>
  <c r="R15" i="6"/>
  <c r="P15" i="6"/>
  <c r="EY72" i="31"/>
  <c r="BC72" i="31"/>
  <c r="HD42" i="31"/>
  <c r="N20" i="31"/>
  <c r="M20" i="31"/>
  <c r="L20" i="31"/>
  <c r="K20" i="31"/>
  <c r="J20" i="31"/>
  <c r="T20" i="31" s="1"/>
  <c r="GI19" i="31"/>
  <c r="GC19" i="31"/>
  <c r="GG19" i="31" s="1"/>
  <c r="N19" i="31"/>
  <c r="X19" i="31" s="1"/>
  <c r="M19" i="31"/>
  <c r="L19" i="31"/>
  <c r="K19" i="31"/>
  <c r="J19" i="31"/>
  <c r="N18" i="31"/>
  <c r="M18" i="31"/>
  <c r="L18" i="31"/>
  <c r="K18" i="31"/>
  <c r="J18" i="31"/>
  <c r="GI17" i="31"/>
  <c r="GC17" i="31"/>
  <c r="GG17" i="31" s="1"/>
  <c r="N17" i="31"/>
  <c r="S17" i="31" s="1"/>
  <c r="M17" i="31"/>
  <c r="L17" i="31"/>
  <c r="K17" i="31"/>
  <c r="J17" i="31"/>
  <c r="GI16" i="31"/>
  <c r="GC16" i="31"/>
  <c r="GG16" i="31" s="1"/>
  <c r="N16" i="31"/>
  <c r="S16" i="31" s="1"/>
  <c r="M16" i="31"/>
  <c r="L16" i="31"/>
  <c r="K16" i="31"/>
  <c r="J16" i="31"/>
  <c r="EY72" i="30"/>
  <c r="BC72" i="30"/>
  <c r="HD42" i="30"/>
  <c r="GI20" i="30"/>
  <c r="GC20" i="30"/>
  <c r="GG20" i="30" s="1"/>
  <c r="FY20" i="30"/>
  <c r="FS20" i="30"/>
  <c r="FW20" i="30" s="1"/>
  <c r="N20" i="30"/>
  <c r="M20" i="30"/>
  <c r="W20" i="30" s="1"/>
  <c r="L20" i="30"/>
  <c r="K20" i="30"/>
  <c r="J20" i="30"/>
  <c r="N19" i="30"/>
  <c r="M19" i="30"/>
  <c r="L19" i="30"/>
  <c r="K19" i="30"/>
  <c r="J19" i="30"/>
  <c r="GI18" i="30"/>
  <c r="GC18" i="30"/>
  <c r="GG18" i="30" s="1"/>
  <c r="N18" i="30"/>
  <c r="M18" i="30"/>
  <c r="L18" i="30"/>
  <c r="K18" i="30"/>
  <c r="J18" i="30"/>
  <c r="GI17" i="30"/>
  <c r="GC17" i="30"/>
  <c r="GG17" i="30" s="1"/>
  <c r="N17" i="30"/>
  <c r="M17" i="30"/>
  <c r="L17" i="30"/>
  <c r="K17" i="30"/>
  <c r="J17" i="30"/>
  <c r="N16" i="30"/>
  <c r="M16" i="30"/>
  <c r="L16" i="30"/>
  <c r="K16" i="30"/>
  <c r="J16" i="30"/>
  <c r="EY72" i="29"/>
  <c r="BC72" i="29"/>
  <c r="HD42" i="29"/>
  <c r="GI20" i="29"/>
  <c r="GC20" i="29"/>
  <c r="GG20" i="29" s="1"/>
  <c r="FY20" i="29"/>
  <c r="FS20" i="29"/>
  <c r="FW20" i="29" s="1"/>
  <c r="FO20" i="29"/>
  <c r="FI20" i="29"/>
  <c r="FM20" i="29" s="1"/>
  <c r="FE20" i="29"/>
  <c r="EY20" i="29"/>
  <c r="FC20" i="29" s="1"/>
  <c r="EU20" i="29"/>
  <c r="EO20" i="29"/>
  <c r="ES20" i="29" s="1"/>
  <c r="AB20" i="29"/>
  <c r="HH20" i="29" s="1"/>
  <c r="AA20" i="29"/>
  <c r="HA20" i="29" s="1"/>
  <c r="Z20" i="29"/>
  <c r="GT20" i="29" s="1"/>
  <c r="Y20" i="29"/>
  <c r="GM20" i="29" s="1"/>
  <c r="N20" i="29"/>
  <c r="X20" i="29" s="1"/>
  <c r="M20" i="29"/>
  <c r="R20" i="29" s="1"/>
  <c r="L20" i="29"/>
  <c r="Q20" i="29" s="1"/>
  <c r="K20" i="29"/>
  <c r="U20" i="29" s="1"/>
  <c r="J20" i="29"/>
  <c r="T20" i="29" s="1"/>
  <c r="GI19" i="29"/>
  <c r="GC19" i="29"/>
  <c r="GG19" i="29" s="1"/>
  <c r="FY19" i="29"/>
  <c r="FS19" i="29"/>
  <c r="FW19" i="29" s="1"/>
  <c r="N19" i="29"/>
  <c r="S19" i="29" s="1"/>
  <c r="M19" i="29"/>
  <c r="W19" i="29" s="1"/>
  <c r="L19" i="29"/>
  <c r="K19" i="29"/>
  <c r="J19" i="29"/>
  <c r="N18" i="29"/>
  <c r="M18" i="29"/>
  <c r="L18" i="29"/>
  <c r="K18" i="29"/>
  <c r="J18" i="29"/>
  <c r="N17" i="29"/>
  <c r="M17" i="29"/>
  <c r="L17" i="29"/>
  <c r="K17" i="29"/>
  <c r="J17" i="29"/>
  <c r="O17" i="29" s="1"/>
  <c r="N16" i="29"/>
  <c r="M16" i="29"/>
  <c r="L16" i="29"/>
  <c r="K16" i="29"/>
  <c r="J16" i="29"/>
  <c r="EY72" i="28"/>
  <c r="BC72" i="28"/>
  <c r="HD42" i="28"/>
  <c r="GI20" i="28"/>
  <c r="GC20" i="28"/>
  <c r="N20" i="28"/>
  <c r="X20" i="28" s="1"/>
  <c r="M20" i="28"/>
  <c r="L20" i="28"/>
  <c r="K20" i="28"/>
  <c r="J20" i="28"/>
  <c r="N19" i="28"/>
  <c r="M19" i="28"/>
  <c r="L19" i="28"/>
  <c r="K19" i="28"/>
  <c r="J19" i="28"/>
  <c r="N18" i="28"/>
  <c r="M18" i="28"/>
  <c r="L18" i="28"/>
  <c r="K18" i="28"/>
  <c r="J18" i="28"/>
  <c r="T18" i="28" s="1"/>
  <c r="N17" i="28"/>
  <c r="M17" i="28"/>
  <c r="L17" i="28"/>
  <c r="K17" i="28"/>
  <c r="J17" i="28"/>
  <c r="N16" i="28"/>
  <c r="M16" i="28"/>
  <c r="L16" i="28"/>
  <c r="K16" i="28"/>
  <c r="J16" i="28"/>
  <c r="EY72" i="26"/>
  <c r="BC72" i="26"/>
  <c r="HD42" i="26"/>
  <c r="GI20" i="26"/>
  <c r="GC20" i="26"/>
  <c r="GG20" i="26" s="1"/>
  <c r="FY20" i="26"/>
  <c r="FS20" i="26"/>
  <c r="FW20" i="26" s="1"/>
  <c r="N20" i="26"/>
  <c r="S20" i="26" s="1"/>
  <c r="M20" i="26"/>
  <c r="L20" i="26"/>
  <c r="K20" i="26"/>
  <c r="J20" i="26"/>
  <c r="N19" i="26"/>
  <c r="M19" i="26"/>
  <c r="L19" i="26"/>
  <c r="K19" i="26"/>
  <c r="J19" i="26"/>
  <c r="GI18" i="26"/>
  <c r="GC18" i="26"/>
  <c r="GG18" i="26" s="1"/>
  <c r="N18" i="26"/>
  <c r="M18" i="26"/>
  <c r="L18" i="26"/>
  <c r="K18" i="26"/>
  <c r="J18" i="26"/>
  <c r="N17" i="26"/>
  <c r="M17" i="26"/>
  <c r="L17" i="26"/>
  <c r="K17" i="26"/>
  <c r="J17" i="26"/>
  <c r="N16" i="26"/>
  <c r="M16" i="26"/>
  <c r="L16" i="26"/>
  <c r="K16" i="26"/>
  <c r="J16" i="26"/>
  <c r="EY72" i="25"/>
  <c r="BC72" i="25"/>
  <c r="HD42" i="25"/>
  <c r="GI20" i="25"/>
  <c r="GC20" i="25"/>
  <c r="GG20" i="25" s="1"/>
  <c r="FY20" i="25"/>
  <c r="FS20" i="25"/>
  <c r="FW20" i="25" s="1"/>
  <c r="FO20" i="25"/>
  <c r="FI20" i="25"/>
  <c r="FM20" i="25" s="1"/>
  <c r="FE20" i="25"/>
  <c r="EY20" i="25"/>
  <c r="FC20" i="25" s="1"/>
  <c r="EU20" i="25"/>
  <c r="EO20" i="25"/>
  <c r="ES20" i="25" s="1"/>
  <c r="AB20" i="25"/>
  <c r="HH20" i="25" s="1"/>
  <c r="AA20" i="25"/>
  <c r="HA20" i="25" s="1"/>
  <c r="Z20" i="25"/>
  <c r="GT20" i="25" s="1"/>
  <c r="Y20" i="25"/>
  <c r="GM20" i="25" s="1"/>
  <c r="N20" i="25"/>
  <c r="M20" i="25"/>
  <c r="L20" i="25"/>
  <c r="K20" i="25"/>
  <c r="P20" i="25" s="1"/>
  <c r="J20" i="25"/>
  <c r="GI19" i="25"/>
  <c r="GC19" i="25"/>
  <c r="GG19" i="25" s="1"/>
  <c r="FY19" i="25"/>
  <c r="FS19" i="25"/>
  <c r="FW19" i="25" s="1"/>
  <c r="N19" i="25"/>
  <c r="M19" i="25"/>
  <c r="L19" i="25"/>
  <c r="K19" i="25"/>
  <c r="J19" i="25"/>
  <c r="GI18" i="25"/>
  <c r="GC18" i="25"/>
  <c r="GG18" i="25" s="1"/>
  <c r="N18" i="25"/>
  <c r="M18" i="25"/>
  <c r="L18" i="25"/>
  <c r="K18" i="25"/>
  <c r="J18" i="25"/>
  <c r="N17" i="25"/>
  <c r="M17" i="25"/>
  <c r="L17" i="25"/>
  <c r="K17" i="25"/>
  <c r="J17" i="25"/>
  <c r="N16" i="25"/>
  <c r="M16" i="25"/>
  <c r="L16" i="25"/>
  <c r="K16" i="25"/>
  <c r="J16" i="25"/>
  <c r="EY72" i="24"/>
  <c r="BC72" i="24"/>
  <c r="HD42" i="24"/>
  <c r="GI20" i="24"/>
  <c r="GC20" i="24"/>
  <c r="GG20" i="24" s="1"/>
  <c r="N20" i="24"/>
  <c r="X20" i="24" s="1"/>
  <c r="M20" i="24"/>
  <c r="L20" i="24"/>
  <c r="K20" i="24"/>
  <c r="J20" i="24"/>
  <c r="N19" i="24"/>
  <c r="M19" i="24"/>
  <c r="L19" i="24"/>
  <c r="K19" i="24"/>
  <c r="J19" i="24"/>
  <c r="N18" i="24"/>
  <c r="M18" i="24"/>
  <c r="L18" i="24"/>
  <c r="K18" i="24"/>
  <c r="J18" i="24"/>
  <c r="N17" i="24"/>
  <c r="M17" i="24"/>
  <c r="L17" i="24"/>
  <c r="K17" i="24"/>
  <c r="J17" i="24"/>
  <c r="N16" i="24"/>
  <c r="M16" i="24"/>
  <c r="L16" i="24"/>
  <c r="K16" i="24"/>
  <c r="J16" i="24"/>
  <c r="EY72" i="23"/>
  <c r="BC72" i="23"/>
  <c r="HD42" i="23"/>
  <c r="GI20" i="23"/>
  <c r="GC20" i="23"/>
  <c r="GG20" i="23" s="1"/>
  <c r="FY20" i="23"/>
  <c r="FS20" i="23"/>
  <c r="FW20" i="23" s="1"/>
  <c r="N20" i="23"/>
  <c r="X20" i="23" s="1"/>
  <c r="M20" i="23"/>
  <c r="R20" i="23" s="1"/>
  <c r="L20" i="23"/>
  <c r="K20" i="23"/>
  <c r="J20" i="23"/>
  <c r="N19" i="23"/>
  <c r="M19" i="23"/>
  <c r="L19" i="23"/>
  <c r="K19" i="23"/>
  <c r="J19" i="23"/>
  <c r="N18" i="23"/>
  <c r="M18" i="23"/>
  <c r="L18" i="23"/>
  <c r="K18" i="23"/>
  <c r="J18" i="23"/>
  <c r="GI17" i="23"/>
  <c r="GC17" i="23"/>
  <c r="GG17" i="23" s="1"/>
  <c r="N17" i="23"/>
  <c r="S17" i="23" s="1"/>
  <c r="M17" i="23"/>
  <c r="L17" i="23"/>
  <c r="K17" i="23"/>
  <c r="J17" i="23"/>
  <c r="N16" i="23"/>
  <c r="M16" i="23"/>
  <c r="L16" i="23"/>
  <c r="K16" i="23"/>
  <c r="J16" i="23"/>
  <c r="EY72" i="21"/>
  <c r="BC72" i="21"/>
  <c r="HD42" i="21"/>
  <c r="GI20" i="21"/>
  <c r="GC20" i="21"/>
  <c r="GG20" i="21" s="1"/>
  <c r="FY20" i="21"/>
  <c r="FS20" i="21"/>
  <c r="FW20" i="21" s="1"/>
  <c r="N20" i="21"/>
  <c r="X20" i="21" s="1"/>
  <c r="M20" i="21"/>
  <c r="W20" i="21" s="1"/>
  <c r="L20" i="21"/>
  <c r="K20" i="21"/>
  <c r="J20" i="21"/>
  <c r="N19" i="21"/>
  <c r="S19" i="21" s="1"/>
  <c r="M19" i="21"/>
  <c r="L19" i="21"/>
  <c r="K19" i="21"/>
  <c r="J19" i="21"/>
  <c r="GI18" i="21"/>
  <c r="GC18" i="21"/>
  <c r="GG18" i="21" s="1"/>
  <c r="N18" i="21"/>
  <c r="X18" i="21" s="1"/>
  <c r="M18" i="21"/>
  <c r="L18" i="21"/>
  <c r="K18" i="21"/>
  <c r="J18" i="21"/>
  <c r="N17" i="21"/>
  <c r="M17" i="21"/>
  <c r="L17" i="21"/>
  <c r="K17" i="21"/>
  <c r="J17" i="21"/>
  <c r="N16" i="21"/>
  <c r="M16" i="21"/>
  <c r="L16" i="21"/>
  <c r="K16" i="21"/>
  <c r="J16" i="21"/>
  <c r="EY72" i="20"/>
  <c r="BC72" i="20"/>
  <c r="HD42" i="20"/>
  <c r="GI20" i="20"/>
  <c r="GC20" i="20"/>
  <c r="GG20" i="20" s="1"/>
  <c r="FY20" i="20"/>
  <c r="FS20" i="20"/>
  <c r="FW20" i="20" s="1"/>
  <c r="FO20" i="20"/>
  <c r="FI20" i="20"/>
  <c r="FM20" i="20" s="1"/>
  <c r="FE20" i="20"/>
  <c r="EY20" i="20"/>
  <c r="FC20" i="20" s="1"/>
  <c r="EU20" i="20"/>
  <c r="EO20" i="20"/>
  <c r="ES20" i="20" s="1"/>
  <c r="AB20" i="20"/>
  <c r="HH20" i="20" s="1"/>
  <c r="AA20" i="20"/>
  <c r="HA20" i="20" s="1"/>
  <c r="Z20" i="20"/>
  <c r="GT20" i="20" s="1"/>
  <c r="Y20" i="20"/>
  <c r="GM20" i="20" s="1"/>
  <c r="N20" i="20"/>
  <c r="M20" i="20"/>
  <c r="R20" i="20" s="1"/>
  <c r="L20" i="20"/>
  <c r="V20" i="20" s="1"/>
  <c r="K20" i="20"/>
  <c r="P20" i="20" s="1"/>
  <c r="J20" i="20"/>
  <c r="T20" i="20" s="1"/>
  <c r="N19" i="20"/>
  <c r="M19" i="20"/>
  <c r="L19" i="20"/>
  <c r="K19" i="20"/>
  <c r="J19" i="20"/>
  <c r="N18" i="20"/>
  <c r="M18" i="20"/>
  <c r="L18" i="20"/>
  <c r="K18" i="20"/>
  <c r="J18" i="20"/>
  <c r="T18" i="20" s="1"/>
  <c r="GI17" i="20"/>
  <c r="GC17" i="20"/>
  <c r="GG17" i="20" s="1"/>
  <c r="FY17" i="20"/>
  <c r="FS17" i="20"/>
  <c r="FW17" i="20" s="1"/>
  <c r="N17" i="20"/>
  <c r="M17" i="20"/>
  <c r="R17" i="20" s="1"/>
  <c r="L17" i="20"/>
  <c r="K17" i="20"/>
  <c r="J17" i="20"/>
  <c r="GI16" i="20"/>
  <c r="GC16" i="20"/>
  <c r="GG16" i="20" s="1"/>
  <c r="N16" i="20"/>
  <c r="X16" i="20" s="1"/>
  <c r="M16" i="20"/>
  <c r="L16" i="20"/>
  <c r="K16" i="20"/>
  <c r="J16" i="20"/>
  <c r="EY72" i="19"/>
  <c r="BC72" i="19"/>
  <c r="HD42" i="19"/>
  <c r="GI20" i="19"/>
  <c r="GC20" i="19"/>
  <c r="GG20" i="19" s="1"/>
  <c r="N20" i="19"/>
  <c r="S20" i="19" s="1"/>
  <c r="M20" i="19"/>
  <c r="L20" i="19"/>
  <c r="K20" i="19"/>
  <c r="J20" i="19"/>
  <c r="N19" i="19"/>
  <c r="M19" i="19"/>
  <c r="L19" i="19"/>
  <c r="K19" i="19"/>
  <c r="J19" i="19"/>
  <c r="GI18" i="19"/>
  <c r="GC18" i="19"/>
  <c r="GG18" i="19" s="1"/>
  <c r="N18" i="19"/>
  <c r="S18" i="19" s="1"/>
  <c r="M18" i="19"/>
  <c r="L18" i="19"/>
  <c r="K18" i="19"/>
  <c r="J18" i="19"/>
  <c r="N17" i="19"/>
  <c r="M17" i="19"/>
  <c r="L17" i="19"/>
  <c r="K17" i="19"/>
  <c r="J17" i="19"/>
  <c r="N16" i="19"/>
  <c r="M16" i="19"/>
  <c r="L16" i="19"/>
  <c r="K16" i="19"/>
  <c r="J16" i="19"/>
  <c r="EY72" i="17"/>
  <c r="BC72" i="17"/>
  <c r="HD42" i="17"/>
  <c r="GI20" i="17"/>
  <c r="GC20" i="17"/>
  <c r="GG20" i="17" s="1"/>
  <c r="FY20" i="17"/>
  <c r="FS20" i="17"/>
  <c r="FW20" i="17" s="1"/>
  <c r="FO20" i="17"/>
  <c r="FI20" i="17"/>
  <c r="FM20" i="17" s="1"/>
  <c r="FE20" i="17"/>
  <c r="EY20" i="17"/>
  <c r="FC20" i="17" s="1"/>
  <c r="EU20" i="17"/>
  <c r="EO20" i="17"/>
  <c r="ES20" i="17" s="1"/>
  <c r="AB20" i="17"/>
  <c r="HH20" i="17" s="1"/>
  <c r="AA20" i="17"/>
  <c r="HA20" i="17" s="1"/>
  <c r="Z20" i="17"/>
  <c r="GT20" i="17" s="1"/>
  <c r="Y20" i="17"/>
  <c r="GM20" i="17" s="1"/>
  <c r="N20" i="17"/>
  <c r="M20" i="17"/>
  <c r="W20" i="17" s="1"/>
  <c r="L20" i="17"/>
  <c r="V20" i="17" s="1"/>
  <c r="K20" i="17"/>
  <c r="P20" i="17" s="1"/>
  <c r="J20" i="17"/>
  <c r="O20" i="17" s="1"/>
  <c r="GI19" i="17"/>
  <c r="GC19" i="17"/>
  <c r="GG19" i="17" s="1"/>
  <c r="N19" i="17"/>
  <c r="X19" i="17" s="1"/>
  <c r="M19" i="17"/>
  <c r="L19" i="17"/>
  <c r="K19" i="17"/>
  <c r="J19" i="17"/>
  <c r="N18" i="17"/>
  <c r="M18" i="17"/>
  <c r="L18" i="17"/>
  <c r="K18" i="17"/>
  <c r="J18" i="17"/>
  <c r="GI17" i="17"/>
  <c r="GC17" i="17"/>
  <c r="GG17" i="17" s="1"/>
  <c r="N17" i="17"/>
  <c r="M17" i="17"/>
  <c r="L17" i="17"/>
  <c r="K17" i="17"/>
  <c r="J17" i="17"/>
  <c r="N16" i="17"/>
  <c r="M16" i="17"/>
  <c r="L16" i="17"/>
  <c r="K16" i="17"/>
  <c r="J16" i="17"/>
  <c r="EY72" i="16"/>
  <c r="BC72" i="16"/>
  <c r="HD42" i="16"/>
  <c r="GI20" i="16"/>
  <c r="GC20" i="16"/>
  <c r="GG20" i="16" s="1"/>
  <c r="FY20" i="16"/>
  <c r="FS20" i="16"/>
  <c r="FW20" i="16" s="1"/>
  <c r="N20" i="16"/>
  <c r="X20" i="16" s="1"/>
  <c r="M20" i="16"/>
  <c r="W20" i="16" s="1"/>
  <c r="L20" i="16"/>
  <c r="K20" i="16"/>
  <c r="J20" i="16"/>
  <c r="N19" i="16"/>
  <c r="M19" i="16"/>
  <c r="L19" i="16"/>
  <c r="K19" i="16"/>
  <c r="J19" i="16"/>
  <c r="N18" i="16"/>
  <c r="M18" i="16"/>
  <c r="L18" i="16"/>
  <c r="K18" i="16"/>
  <c r="J18" i="16"/>
  <c r="N17" i="16"/>
  <c r="M17" i="16"/>
  <c r="L17" i="16"/>
  <c r="K17" i="16"/>
  <c r="J17" i="16"/>
  <c r="GI16" i="16"/>
  <c r="GC16" i="16"/>
  <c r="GG16" i="16" s="1"/>
  <c r="N16" i="16"/>
  <c r="X16" i="16" s="1"/>
  <c r="M16" i="16"/>
  <c r="L16" i="16"/>
  <c r="K16" i="16"/>
  <c r="J16" i="16"/>
  <c r="O16" i="16" s="1"/>
  <c r="EY72" i="15"/>
  <c r="BC72" i="15"/>
  <c r="HD42" i="15"/>
  <c r="GI20" i="15"/>
  <c r="GC20" i="15"/>
  <c r="GG20" i="15" s="1"/>
  <c r="N20" i="15"/>
  <c r="X20" i="15" s="1"/>
  <c r="M20" i="15"/>
  <c r="L20" i="15"/>
  <c r="K20" i="15"/>
  <c r="J20" i="15"/>
  <c r="N19" i="15"/>
  <c r="M19" i="15"/>
  <c r="L19" i="15"/>
  <c r="K19" i="15"/>
  <c r="J19" i="15"/>
  <c r="N18" i="15"/>
  <c r="M18" i="15"/>
  <c r="L18" i="15"/>
  <c r="K18" i="15"/>
  <c r="J18" i="15"/>
  <c r="N17" i="15"/>
  <c r="M17" i="15"/>
  <c r="L17" i="15"/>
  <c r="K17" i="15"/>
  <c r="J17" i="15"/>
  <c r="N16" i="15"/>
  <c r="M16" i="15"/>
  <c r="L16" i="15"/>
  <c r="K16" i="15"/>
  <c r="J16" i="15"/>
  <c r="EY72" i="14"/>
  <c r="BC72" i="14"/>
  <c r="HD42" i="14"/>
  <c r="GI20" i="14"/>
  <c r="GC20" i="14"/>
  <c r="GG20" i="14" s="1"/>
  <c r="FY20" i="14"/>
  <c r="FS20" i="14"/>
  <c r="FW20" i="14" s="1"/>
  <c r="FO20" i="14"/>
  <c r="FI20" i="14"/>
  <c r="FM20" i="14" s="1"/>
  <c r="FE20" i="14"/>
  <c r="EY20" i="14"/>
  <c r="FC20" i="14" s="1"/>
  <c r="EU20" i="14"/>
  <c r="EO20" i="14"/>
  <c r="ES20" i="14" s="1"/>
  <c r="AB20" i="14"/>
  <c r="HH20" i="14" s="1"/>
  <c r="AA20" i="14"/>
  <c r="HA20" i="14" s="1"/>
  <c r="Z20" i="14"/>
  <c r="GT20" i="14" s="1"/>
  <c r="Y20" i="14"/>
  <c r="GM20" i="14" s="1"/>
  <c r="N20" i="14"/>
  <c r="X20" i="14" s="1"/>
  <c r="M20" i="14"/>
  <c r="R20" i="14" s="1"/>
  <c r="L20" i="14"/>
  <c r="Q20" i="14" s="1"/>
  <c r="K20" i="14"/>
  <c r="J20" i="14"/>
  <c r="T20" i="14" s="1"/>
  <c r="N19" i="14"/>
  <c r="M19" i="14"/>
  <c r="L19" i="14"/>
  <c r="K19" i="14"/>
  <c r="J19" i="14"/>
  <c r="N18" i="14"/>
  <c r="M18" i="14"/>
  <c r="L18" i="14"/>
  <c r="V18" i="14" s="1"/>
  <c r="K18" i="14"/>
  <c r="J18" i="14"/>
  <c r="O18" i="14" s="1"/>
  <c r="N17" i="14"/>
  <c r="M17" i="14"/>
  <c r="L17" i="14"/>
  <c r="Q17" i="14" s="1"/>
  <c r="K17" i="14"/>
  <c r="J17" i="14"/>
  <c r="GI16" i="14"/>
  <c r="GC16" i="14"/>
  <c r="GG16" i="14" s="1"/>
  <c r="N16" i="14"/>
  <c r="M16" i="14"/>
  <c r="L16" i="14"/>
  <c r="K16" i="14"/>
  <c r="J16" i="14"/>
  <c r="EY72" i="13"/>
  <c r="BC72" i="13"/>
  <c r="HD42" i="13"/>
  <c r="GI20" i="13"/>
  <c r="GC20" i="13"/>
  <c r="GG20" i="13" s="1"/>
  <c r="FY20" i="13"/>
  <c r="FS20" i="13"/>
  <c r="FW20" i="13" s="1"/>
  <c r="FO20" i="13"/>
  <c r="FI20" i="13"/>
  <c r="FM20" i="13" s="1"/>
  <c r="FE20" i="13"/>
  <c r="EY20" i="13"/>
  <c r="FC20" i="13" s="1"/>
  <c r="EU20" i="13"/>
  <c r="EO20" i="13"/>
  <c r="ES20" i="13" s="1"/>
  <c r="AB20" i="13"/>
  <c r="HH20" i="13" s="1"/>
  <c r="AA20" i="13"/>
  <c r="HA20" i="13" s="1"/>
  <c r="Z20" i="13"/>
  <c r="GT20" i="13" s="1"/>
  <c r="Y20" i="13"/>
  <c r="GM20" i="13" s="1"/>
  <c r="N20" i="13"/>
  <c r="M20" i="13"/>
  <c r="L20" i="13"/>
  <c r="K20" i="13"/>
  <c r="P20" i="13" s="1"/>
  <c r="J20" i="13"/>
  <c r="N19" i="13"/>
  <c r="M19" i="13"/>
  <c r="L19" i="13"/>
  <c r="K19" i="13"/>
  <c r="J19" i="13"/>
  <c r="N18" i="13"/>
  <c r="M18" i="13"/>
  <c r="L18" i="13"/>
  <c r="K18" i="13"/>
  <c r="J18" i="13"/>
  <c r="N17" i="13"/>
  <c r="M17" i="13"/>
  <c r="L17" i="13"/>
  <c r="K17" i="13"/>
  <c r="J17" i="13"/>
  <c r="N16" i="13"/>
  <c r="M16" i="13"/>
  <c r="L16" i="13"/>
  <c r="K16" i="13"/>
  <c r="J16" i="13"/>
  <c r="EY72" i="10"/>
  <c r="BC72" i="10"/>
  <c r="HD42" i="10"/>
  <c r="GI20" i="10"/>
  <c r="GC20" i="10"/>
  <c r="FY20" i="10"/>
  <c r="FS20" i="10"/>
  <c r="FO20" i="10"/>
  <c r="FI20" i="10"/>
  <c r="FE20" i="10"/>
  <c r="EY20" i="10"/>
  <c r="EU20" i="10"/>
  <c r="EO20" i="10"/>
  <c r="AB20" i="10"/>
  <c r="HH20" i="10" s="1"/>
  <c r="AA20" i="10"/>
  <c r="HA20" i="10" s="1"/>
  <c r="Z20" i="10"/>
  <c r="GT20" i="10" s="1"/>
  <c r="Y20" i="10"/>
  <c r="GM20" i="10" s="1"/>
  <c r="N20" i="10"/>
  <c r="S20" i="10" s="1"/>
  <c r="M20" i="10"/>
  <c r="R20" i="10" s="1"/>
  <c r="L20" i="10"/>
  <c r="V20" i="10" s="1"/>
  <c r="K20" i="10"/>
  <c r="P20" i="10" s="1"/>
  <c r="J20" i="10"/>
  <c r="O20" i="10" s="1"/>
  <c r="GI19" i="10"/>
  <c r="GC19" i="10"/>
  <c r="N19" i="10"/>
  <c r="X19" i="10" s="1"/>
  <c r="M19" i="10"/>
  <c r="L19" i="10"/>
  <c r="K19" i="10"/>
  <c r="J19" i="10"/>
  <c r="N18" i="10"/>
  <c r="M18" i="10"/>
  <c r="L18" i="10"/>
  <c r="K18" i="10"/>
  <c r="J18" i="10"/>
  <c r="GI17" i="10"/>
  <c r="GC17" i="10"/>
  <c r="N17" i="10"/>
  <c r="S17" i="10" s="1"/>
  <c r="M17" i="10"/>
  <c r="L17" i="10"/>
  <c r="K17" i="10"/>
  <c r="J17" i="10"/>
  <c r="GI16" i="10"/>
  <c r="GC16" i="10"/>
  <c r="N16" i="10"/>
  <c r="S16" i="10" s="1"/>
  <c r="M16" i="10"/>
  <c r="L16" i="10"/>
  <c r="K16" i="10"/>
  <c r="J16" i="10"/>
  <c r="EY72" i="9"/>
  <c r="BC72" i="9"/>
  <c r="HD42" i="9"/>
  <c r="N20" i="9"/>
  <c r="M20" i="9"/>
  <c r="L20" i="9"/>
  <c r="K20" i="9"/>
  <c r="J20" i="9"/>
  <c r="N19" i="9"/>
  <c r="M19" i="9"/>
  <c r="L19" i="9"/>
  <c r="K19" i="9"/>
  <c r="J19" i="9"/>
  <c r="N18" i="9"/>
  <c r="M18" i="9"/>
  <c r="L18" i="9"/>
  <c r="K18" i="9"/>
  <c r="J18" i="9"/>
  <c r="N17" i="9"/>
  <c r="M17" i="9"/>
  <c r="L17" i="9"/>
  <c r="K17" i="9"/>
  <c r="J17" i="9"/>
  <c r="O17" i="9" s="1"/>
  <c r="N16" i="9"/>
  <c r="S16" i="9" s="1"/>
  <c r="M16" i="9"/>
  <c r="L16" i="9"/>
  <c r="K16" i="9"/>
  <c r="J16" i="9"/>
  <c r="EY72" i="8"/>
  <c r="BC72" i="8"/>
  <c r="HD42" i="8"/>
  <c r="GI20" i="8"/>
  <c r="GC20" i="8"/>
  <c r="N20" i="8"/>
  <c r="S20" i="8" s="1"/>
  <c r="M20" i="8"/>
  <c r="L20" i="8"/>
  <c r="K20" i="8"/>
  <c r="J20" i="8"/>
  <c r="GI19" i="8"/>
  <c r="GC19" i="8"/>
  <c r="N19" i="8"/>
  <c r="S19" i="8" s="1"/>
  <c r="M19" i="8"/>
  <c r="L19" i="8"/>
  <c r="K19" i="8"/>
  <c r="J19" i="8"/>
  <c r="GI18" i="8"/>
  <c r="GC18" i="8"/>
  <c r="N18" i="8"/>
  <c r="S18" i="8" s="1"/>
  <c r="M18" i="8"/>
  <c r="L18" i="8"/>
  <c r="K18" i="8"/>
  <c r="J18" i="8"/>
  <c r="N17" i="8"/>
  <c r="M17" i="8"/>
  <c r="L17" i="8"/>
  <c r="K17" i="8"/>
  <c r="J17" i="8"/>
  <c r="GI16" i="8"/>
  <c r="GC16" i="8"/>
  <c r="GG16" i="8" s="1"/>
  <c r="N16" i="8"/>
  <c r="S16" i="8" s="1"/>
  <c r="M16" i="8"/>
  <c r="L16" i="8"/>
  <c r="K16" i="8"/>
  <c r="J16" i="8"/>
  <c r="IH17" i="19" l="1"/>
  <c r="IE17" i="19"/>
  <c r="IG17" i="19"/>
  <c r="IF17" i="19"/>
  <c r="GI17" i="19"/>
  <c r="IR17" i="19" s="1"/>
  <c r="GC17" i="19"/>
  <c r="IF18" i="13"/>
  <c r="IG18" i="13"/>
  <c r="IE18" i="13"/>
  <c r="GC18" i="13" s="1"/>
  <c r="IH18" i="13"/>
  <c r="GI18" i="13" s="1"/>
  <c r="IR18" i="13" s="1"/>
  <c r="X18" i="15"/>
  <c r="IH18" i="15"/>
  <c r="GI18" i="15" s="1"/>
  <c r="IR18" i="15" s="1"/>
  <c r="IE18" i="15"/>
  <c r="IG18" i="15"/>
  <c r="IF18" i="15"/>
  <c r="GC18" i="15"/>
  <c r="X18" i="14"/>
  <c r="IG18" i="14"/>
  <c r="IF18" i="14"/>
  <c r="IE18" i="14"/>
  <c r="GC18" i="14" s="1"/>
  <c r="IH18" i="14"/>
  <c r="GI18" i="14"/>
  <c r="IR18" i="14" s="1"/>
  <c r="S18" i="28"/>
  <c r="IF18" i="28"/>
  <c r="IE18" i="28"/>
  <c r="IG18" i="28"/>
  <c r="IH18" i="28"/>
  <c r="GC18" i="28"/>
  <c r="IM18" i="28" s="1"/>
  <c r="GI18" i="28"/>
  <c r="IR18" i="28" s="1"/>
  <c r="X19" i="20"/>
  <c r="IH19" i="20"/>
  <c r="IF19" i="20"/>
  <c r="IG19" i="20"/>
  <c r="IE19" i="20"/>
  <c r="GI19" i="20"/>
  <c r="IR19" i="20" s="1"/>
  <c r="GC19" i="20"/>
  <c r="R19" i="20"/>
  <c r="ID19" i="20"/>
  <c r="FY19" i="20" s="1"/>
  <c r="IQ19" i="20" s="1"/>
  <c r="IC19" i="20"/>
  <c r="IA19" i="20"/>
  <c r="FS19" i="20" s="1"/>
  <c r="IB19" i="20"/>
  <c r="R20" i="15"/>
  <c r="ID20" i="15"/>
  <c r="FY20" i="15" s="1"/>
  <c r="IQ20" i="15" s="1"/>
  <c r="IB20" i="15"/>
  <c r="IC20" i="15"/>
  <c r="IA20" i="15"/>
  <c r="FS20" i="15"/>
  <c r="HY20" i="15"/>
  <c r="HW20" i="15"/>
  <c r="FI20" i="15" s="1"/>
  <c r="HZ20" i="15"/>
  <c r="HX20" i="15"/>
  <c r="FO20" i="15"/>
  <c r="IP20" i="15" s="1"/>
  <c r="HV20" i="15"/>
  <c r="FE20" i="15" s="1"/>
  <c r="IO20" i="15" s="1"/>
  <c r="HT20" i="15"/>
  <c r="HU20" i="15"/>
  <c r="HS20" i="15"/>
  <c r="EY20" i="15"/>
  <c r="HQ20" i="15"/>
  <c r="HO20" i="15"/>
  <c r="EO20" i="15" s="1"/>
  <c r="HR20" i="15"/>
  <c r="HP20" i="15"/>
  <c r="EU20" i="15"/>
  <c r="IN20" i="15" s="1"/>
  <c r="IG16" i="13"/>
  <c r="IE16" i="13"/>
  <c r="GC16" i="13" s="1"/>
  <c r="IH16" i="13"/>
  <c r="IF16" i="13"/>
  <c r="GI16" i="13"/>
  <c r="IR16" i="13" s="1"/>
  <c r="W16" i="13"/>
  <c r="ID16" i="13"/>
  <c r="IB16" i="13"/>
  <c r="IC16" i="13"/>
  <c r="IA16" i="13"/>
  <c r="FS16" i="13" s="1"/>
  <c r="FY16" i="13"/>
  <c r="IQ16" i="13" s="1"/>
  <c r="IG16" i="30"/>
  <c r="IE16" i="30"/>
  <c r="GC16" i="30" s="1"/>
  <c r="IH16" i="30"/>
  <c r="IF16" i="30"/>
  <c r="GI16" i="30"/>
  <c r="IR16" i="30" s="1"/>
  <c r="S20" i="9"/>
  <c r="IH20" i="9"/>
  <c r="IF20" i="9"/>
  <c r="IG20" i="9"/>
  <c r="IE20" i="9"/>
  <c r="GC20" i="9" s="1"/>
  <c r="GI20" i="9"/>
  <c r="IR20" i="9" s="1"/>
  <c r="S17" i="9"/>
  <c r="IH17" i="9"/>
  <c r="IF17" i="9"/>
  <c r="IG17" i="9"/>
  <c r="IE17" i="9"/>
  <c r="GC17" i="9" s="1"/>
  <c r="IM17" i="9" s="1"/>
  <c r="GI17" i="9"/>
  <c r="IR17" i="9" s="1"/>
  <c r="IG18" i="23"/>
  <c r="IE18" i="23"/>
  <c r="GC18" i="23" s="1"/>
  <c r="IH18" i="23"/>
  <c r="IF18" i="23"/>
  <c r="GI18" i="23"/>
  <c r="IR18" i="23" s="1"/>
  <c r="IG16" i="17"/>
  <c r="IE16" i="17"/>
  <c r="GC16" i="17" s="1"/>
  <c r="IH16" i="17"/>
  <c r="IF16" i="17"/>
  <c r="GI16" i="17"/>
  <c r="IR16" i="17" s="1"/>
  <c r="HY20" i="16"/>
  <c r="HW20" i="16"/>
  <c r="FI20" i="16" s="1"/>
  <c r="HZ20" i="16"/>
  <c r="HX20" i="16"/>
  <c r="FO20" i="16"/>
  <c r="IP20" i="16" s="1"/>
  <c r="HV20" i="16"/>
  <c r="HT20" i="16"/>
  <c r="HU20" i="16"/>
  <c r="HS20" i="16"/>
  <c r="EY20" i="16"/>
  <c r="FE20" i="16"/>
  <c r="IO20" i="16" s="1"/>
  <c r="T20" i="16"/>
  <c r="HR20" i="16"/>
  <c r="HP20" i="16"/>
  <c r="HQ20" i="16"/>
  <c r="HO20" i="16"/>
  <c r="EU20" i="16"/>
  <c r="IN20" i="16" s="1"/>
  <c r="IT20" i="16" s="1"/>
  <c r="EO20" i="16"/>
  <c r="S19" i="16"/>
  <c r="IG19" i="16"/>
  <c r="IE19" i="16"/>
  <c r="IH19" i="16"/>
  <c r="IF19" i="16"/>
  <c r="GI19" i="16"/>
  <c r="IR19" i="16" s="1"/>
  <c r="GC19" i="16"/>
  <c r="Q20" i="30"/>
  <c r="HY20" i="30"/>
  <c r="HW20" i="30"/>
  <c r="FI20" i="30" s="1"/>
  <c r="HZ20" i="30"/>
  <c r="HX20" i="30"/>
  <c r="FO20" i="30"/>
  <c r="IP20" i="30" s="1"/>
  <c r="P20" i="30"/>
  <c r="HS20" i="30"/>
  <c r="HV20" i="30"/>
  <c r="HT20" i="30"/>
  <c r="HU20" i="30"/>
  <c r="EY20" i="30" s="1"/>
  <c r="FE20" i="30"/>
  <c r="IO20" i="30" s="1"/>
  <c r="HQ20" i="30"/>
  <c r="HO20" i="30"/>
  <c r="EO20" i="30" s="1"/>
  <c r="HR20" i="30"/>
  <c r="HP20" i="30"/>
  <c r="EU20" i="30"/>
  <c r="IN20" i="30" s="1"/>
  <c r="X19" i="30"/>
  <c r="IH19" i="30"/>
  <c r="IF19" i="30"/>
  <c r="IG19" i="30"/>
  <c r="IE19" i="30"/>
  <c r="GC19" i="30" s="1"/>
  <c r="GI19" i="30"/>
  <c r="IR19" i="30" s="1"/>
  <c r="IC19" i="30"/>
  <c r="IA19" i="30"/>
  <c r="FS19" i="30" s="1"/>
  <c r="ID19" i="30"/>
  <c r="FY19" i="30" s="1"/>
  <c r="IQ19" i="30" s="1"/>
  <c r="IB19" i="30"/>
  <c r="HY19" i="30"/>
  <c r="HW19" i="30"/>
  <c r="HZ19" i="30"/>
  <c r="FO19" i="30" s="1"/>
  <c r="IP19" i="30" s="1"/>
  <c r="HX19" i="30"/>
  <c r="FI19" i="30"/>
  <c r="U19" i="30"/>
  <c r="HU19" i="30"/>
  <c r="HS19" i="30"/>
  <c r="EY19" i="30" s="1"/>
  <c r="HV19" i="30"/>
  <c r="HT19" i="30"/>
  <c r="ID18" i="26"/>
  <c r="FY18" i="26" s="1"/>
  <c r="IQ18" i="26" s="1"/>
  <c r="IC18" i="26"/>
  <c r="IA18" i="26"/>
  <c r="IB18" i="26"/>
  <c r="FS18" i="26"/>
  <c r="X18" i="24"/>
  <c r="IH18" i="24"/>
  <c r="IF18" i="24"/>
  <c r="IG18" i="24"/>
  <c r="IE18" i="24"/>
  <c r="GC18" i="24" s="1"/>
  <c r="GI18" i="24"/>
  <c r="IR18" i="24" s="1"/>
  <c r="ID18" i="23"/>
  <c r="FY18" i="23" s="1"/>
  <c r="IQ18" i="23" s="1"/>
  <c r="IB18" i="23"/>
  <c r="IC18" i="23"/>
  <c r="IA18" i="23"/>
  <c r="FS18" i="23"/>
  <c r="V19" i="20"/>
  <c r="HY19" i="20"/>
  <c r="HW19" i="20"/>
  <c r="FI19" i="20" s="1"/>
  <c r="HZ19" i="20"/>
  <c r="FO19" i="20" s="1"/>
  <c r="IP19" i="20" s="1"/>
  <c r="HX19" i="20"/>
  <c r="HT19" i="20"/>
  <c r="HU19" i="20"/>
  <c r="HS19" i="20"/>
  <c r="EY19" i="20" s="1"/>
  <c r="HV19" i="20"/>
  <c r="FE19" i="20"/>
  <c r="IO19" i="20" s="1"/>
  <c r="T19" i="20"/>
  <c r="HR19" i="20"/>
  <c r="HP19" i="20"/>
  <c r="HQ19" i="20"/>
  <c r="HO19" i="20"/>
  <c r="EO19" i="20" s="1"/>
  <c r="EU19" i="20"/>
  <c r="IN19" i="20" s="1"/>
  <c r="X18" i="20"/>
  <c r="IH18" i="20"/>
  <c r="IG18" i="20"/>
  <c r="IE18" i="20"/>
  <c r="GC18" i="20" s="1"/>
  <c r="IF18" i="20"/>
  <c r="ID20" i="19"/>
  <c r="IB20" i="19"/>
  <c r="IC20" i="19"/>
  <c r="IA20" i="19"/>
  <c r="FS20" i="19" s="1"/>
  <c r="FY20" i="19"/>
  <c r="IQ20" i="19" s="1"/>
  <c r="ID18" i="19"/>
  <c r="FY18" i="19" s="1"/>
  <c r="IQ18" i="19" s="1"/>
  <c r="IC18" i="19"/>
  <c r="IA18" i="19"/>
  <c r="IB18" i="19"/>
  <c r="FS18" i="19"/>
  <c r="R17" i="19"/>
  <c r="IC17" i="19"/>
  <c r="IA17" i="19"/>
  <c r="ID17" i="19"/>
  <c r="IB17" i="19"/>
  <c r="FY17" i="19"/>
  <c r="IQ17" i="19" s="1"/>
  <c r="FS17" i="19"/>
  <c r="IH19" i="15"/>
  <c r="IF19" i="15"/>
  <c r="IG19" i="15"/>
  <c r="IE19" i="15"/>
  <c r="GI19" i="15"/>
  <c r="IR19" i="15" s="1"/>
  <c r="GC19" i="15"/>
  <c r="W18" i="13"/>
  <c r="IB18" i="13"/>
  <c r="IC18" i="13"/>
  <c r="IA18" i="13"/>
  <c r="FS18" i="13" s="1"/>
  <c r="ID18" i="13"/>
  <c r="FY18" i="13" s="1"/>
  <c r="IQ18" i="13" s="1"/>
  <c r="X16" i="29"/>
  <c r="IH16" i="29"/>
  <c r="IF16" i="29"/>
  <c r="IG16" i="29"/>
  <c r="IE16" i="29"/>
  <c r="GC16" i="29" s="1"/>
  <c r="GI16" i="29"/>
  <c r="IR16" i="29" s="1"/>
  <c r="X19" i="9"/>
  <c r="IH19" i="9"/>
  <c r="IF19" i="9"/>
  <c r="GI19" i="9" s="1"/>
  <c r="IR19" i="9" s="1"/>
  <c r="IG19" i="9"/>
  <c r="GC19" i="9" s="1"/>
  <c r="IM19" i="9" s="1"/>
  <c r="IE19" i="9"/>
  <c r="W18" i="8"/>
  <c r="IB18" i="8"/>
  <c r="IC18" i="8"/>
  <c r="FS18" i="8" s="1"/>
  <c r="IA18" i="8"/>
  <c r="ID18" i="8"/>
  <c r="FY18" i="8"/>
  <c r="IQ18" i="8" s="1"/>
  <c r="V20" i="23"/>
  <c r="HX20" i="23"/>
  <c r="HY20" i="23"/>
  <c r="HW20" i="23"/>
  <c r="FI20" i="23" s="1"/>
  <c r="HZ20" i="23"/>
  <c r="FO20" i="23" s="1"/>
  <c r="IP20" i="23" s="1"/>
  <c r="P20" i="23"/>
  <c r="HV20" i="23"/>
  <c r="FE20" i="23" s="1"/>
  <c r="IO20" i="23" s="1"/>
  <c r="HT20" i="23"/>
  <c r="HU20" i="23"/>
  <c r="HS20" i="23"/>
  <c r="EY20" i="23"/>
  <c r="O20" i="23"/>
  <c r="HR20" i="23"/>
  <c r="HP20" i="23"/>
  <c r="HQ20" i="23"/>
  <c r="HO20" i="23"/>
  <c r="EO20" i="23" s="1"/>
  <c r="EU20" i="23"/>
  <c r="IN20" i="23" s="1"/>
  <c r="ID18" i="30"/>
  <c r="IB18" i="30"/>
  <c r="IC18" i="30"/>
  <c r="IA18" i="30"/>
  <c r="FY18" i="30"/>
  <c r="IQ18" i="30" s="1"/>
  <c r="FS18" i="30"/>
  <c r="O19" i="30"/>
  <c r="HQ19" i="30"/>
  <c r="HO19" i="30"/>
  <c r="HR19" i="30"/>
  <c r="EU19" i="30" s="1"/>
  <c r="IN19" i="30" s="1"/>
  <c r="HP19" i="30"/>
  <c r="EO19" i="30"/>
  <c r="S18" i="10"/>
  <c r="IH18" i="10"/>
  <c r="IG18" i="10"/>
  <c r="IE18" i="10"/>
  <c r="GC18" i="10" s="1"/>
  <c r="IM18" i="10" s="1"/>
  <c r="IF18" i="10"/>
  <c r="GI18" i="10"/>
  <c r="IR18" i="10" s="1"/>
  <c r="R18" i="10"/>
  <c r="ID18" i="10"/>
  <c r="FY18" i="10" s="1"/>
  <c r="IQ18" i="10" s="1"/>
  <c r="IB18" i="10"/>
  <c r="IC18" i="10"/>
  <c r="IA18" i="10"/>
  <c r="FS18" i="10" s="1"/>
  <c r="S17" i="8"/>
  <c r="IH17" i="8"/>
  <c r="GI17" i="8" s="1"/>
  <c r="IR17" i="8" s="1"/>
  <c r="IG17" i="8"/>
  <c r="IE17" i="8"/>
  <c r="GC17" i="8" s="1"/>
  <c r="IF17" i="8"/>
  <c r="X18" i="9"/>
  <c r="IH18" i="9"/>
  <c r="IG18" i="9"/>
  <c r="IE18" i="9"/>
  <c r="GC18" i="9" s="1"/>
  <c r="IM18" i="9" s="1"/>
  <c r="IF18" i="9"/>
  <c r="GI18" i="9"/>
  <c r="IR18" i="9" s="1"/>
  <c r="R18" i="9"/>
  <c r="ID18" i="9"/>
  <c r="FY18" i="9" s="1"/>
  <c r="IQ18" i="9" s="1"/>
  <c r="IB18" i="9"/>
  <c r="IC18" i="9"/>
  <c r="IA18" i="9"/>
  <c r="FS18" i="9" s="1"/>
  <c r="R20" i="28"/>
  <c r="ID20" i="28"/>
  <c r="FY20" i="28" s="1"/>
  <c r="IQ20" i="28" s="1"/>
  <c r="IB20" i="28"/>
  <c r="IC20" i="28"/>
  <c r="IA20" i="28"/>
  <c r="FS20" i="28" s="1"/>
  <c r="V20" i="28"/>
  <c r="HZ20" i="28"/>
  <c r="HX20" i="28"/>
  <c r="HY20" i="28"/>
  <c r="FI20" i="28" s="1"/>
  <c r="IK20" i="28" s="1"/>
  <c r="HW20" i="28"/>
  <c r="FO20" i="28"/>
  <c r="IP20" i="28" s="1"/>
  <c r="U20" i="28"/>
  <c r="HV20" i="28"/>
  <c r="FE20" i="28" s="1"/>
  <c r="IO20" i="28" s="1"/>
  <c r="HT20" i="28"/>
  <c r="HU20" i="28"/>
  <c r="HS20" i="28"/>
  <c r="EY20" i="28" s="1"/>
  <c r="T20" i="28"/>
  <c r="HR20" i="28"/>
  <c r="HP20" i="28"/>
  <c r="HQ20" i="28"/>
  <c r="HO20" i="28"/>
  <c r="EO20" i="28" s="1"/>
  <c r="II20" i="28" s="1"/>
  <c r="EU20" i="28"/>
  <c r="IN20" i="28" s="1"/>
  <c r="X19" i="28"/>
  <c r="IH19" i="28"/>
  <c r="IF19" i="28"/>
  <c r="IG19" i="28"/>
  <c r="IE19" i="28"/>
  <c r="GC19" i="28" s="1"/>
  <c r="GI19" i="28"/>
  <c r="IR19" i="28" s="1"/>
  <c r="W19" i="28"/>
  <c r="ID19" i="28"/>
  <c r="FY19" i="28" s="1"/>
  <c r="IQ19" i="28" s="1"/>
  <c r="IB19" i="28"/>
  <c r="IC19" i="28"/>
  <c r="IA19" i="28"/>
  <c r="FS19" i="28" s="1"/>
  <c r="IH17" i="28"/>
  <c r="IF17" i="28"/>
  <c r="IG17" i="28"/>
  <c r="IE17" i="28"/>
  <c r="GC17" i="28" s="1"/>
  <c r="GI17" i="28"/>
  <c r="IR17" i="28" s="1"/>
  <c r="IH17" i="15"/>
  <c r="IF17" i="15"/>
  <c r="IG17" i="15"/>
  <c r="GC17" i="15" s="1"/>
  <c r="IE17" i="15"/>
  <c r="GI17" i="15"/>
  <c r="IR17" i="15" s="1"/>
  <c r="IG18" i="17"/>
  <c r="IE18" i="17"/>
  <c r="GC18" i="17" s="1"/>
  <c r="IH18" i="17"/>
  <c r="GI18" i="17" s="1"/>
  <c r="IR18" i="17" s="1"/>
  <c r="IF18" i="17"/>
  <c r="R18" i="14"/>
  <c r="ID18" i="14"/>
  <c r="IB18" i="14"/>
  <c r="IC18" i="14"/>
  <c r="IA18" i="14"/>
  <c r="FS18" i="14" s="1"/>
  <c r="FY18" i="14"/>
  <c r="IQ18" i="14" s="1"/>
  <c r="X17" i="14"/>
  <c r="IH17" i="14"/>
  <c r="IF17" i="14"/>
  <c r="IG17" i="14"/>
  <c r="IE17" i="14"/>
  <c r="GC17" i="14" s="1"/>
  <c r="GI17" i="14"/>
  <c r="IR17" i="14" s="1"/>
  <c r="V20" i="19"/>
  <c r="HZ20" i="19"/>
  <c r="HX20" i="19"/>
  <c r="FO20" i="19" s="1"/>
  <c r="IP20" i="19" s="1"/>
  <c r="HY20" i="19"/>
  <c r="HW20" i="19"/>
  <c r="FI20" i="19" s="1"/>
  <c r="U20" i="19"/>
  <c r="HV20" i="19"/>
  <c r="FE20" i="19" s="1"/>
  <c r="IO20" i="19" s="1"/>
  <c r="HT20" i="19"/>
  <c r="HU20" i="19"/>
  <c r="HS20" i="19"/>
  <c r="EY20" i="19" s="1"/>
  <c r="T20" i="19"/>
  <c r="HR20" i="19"/>
  <c r="HP20" i="19"/>
  <c r="EU20" i="19" s="1"/>
  <c r="IN20" i="19" s="1"/>
  <c r="HQ20" i="19"/>
  <c r="HO20" i="19"/>
  <c r="EO20" i="19" s="1"/>
  <c r="X19" i="19"/>
  <c r="IH19" i="19"/>
  <c r="IF19" i="19"/>
  <c r="IG19" i="19"/>
  <c r="IE19" i="19"/>
  <c r="GC19" i="19" s="1"/>
  <c r="GI19" i="19"/>
  <c r="IR19" i="19" s="1"/>
  <c r="R19" i="19"/>
  <c r="ID19" i="19"/>
  <c r="FY19" i="19" s="1"/>
  <c r="IQ19" i="19" s="1"/>
  <c r="IB19" i="19"/>
  <c r="IC19" i="19"/>
  <c r="IA19" i="19"/>
  <c r="FS19" i="19" s="1"/>
  <c r="S16" i="26"/>
  <c r="IH16" i="26"/>
  <c r="IF16" i="26"/>
  <c r="IG16" i="26"/>
  <c r="IE16" i="26"/>
  <c r="GC16" i="26" s="1"/>
  <c r="GI16" i="26"/>
  <c r="IR16" i="26" s="1"/>
  <c r="IH17" i="25"/>
  <c r="IF17" i="25"/>
  <c r="IG17" i="25"/>
  <c r="IE17" i="25"/>
  <c r="GC17" i="25" s="1"/>
  <c r="GI17" i="25"/>
  <c r="IR17" i="25" s="1"/>
  <c r="W20" i="28"/>
  <c r="S18" i="9"/>
  <c r="R20" i="17"/>
  <c r="V20" i="26"/>
  <c r="HZ20" i="26"/>
  <c r="HY20" i="26"/>
  <c r="HW20" i="26"/>
  <c r="FI20" i="26" s="1"/>
  <c r="HX20" i="26"/>
  <c r="FO20" i="26"/>
  <c r="IP20" i="26" s="1"/>
  <c r="P20" i="26"/>
  <c r="HV20" i="26"/>
  <c r="FE20" i="26" s="1"/>
  <c r="IO20" i="26" s="1"/>
  <c r="HT20" i="26"/>
  <c r="HU20" i="26"/>
  <c r="HS20" i="26"/>
  <c r="EY20" i="26" s="1"/>
  <c r="O20" i="26"/>
  <c r="HQ20" i="26"/>
  <c r="HO20" i="26"/>
  <c r="EO20" i="26" s="1"/>
  <c r="HR20" i="26"/>
  <c r="HP20" i="26"/>
  <c r="EU20" i="26"/>
  <c r="IN20" i="26" s="1"/>
  <c r="X19" i="26"/>
  <c r="IH19" i="26"/>
  <c r="GI19" i="26" s="1"/>
  <c r="IR19" i="26" s="1"/>
  <c r="IF19" i="26"/>
  <c r="IG19" i="26"/>
  <c r="IE19" i="26"/>
  <c r="GC19" i="26" s="1"/>
  <c r="W19" i="26"/>
  <c r="ID19" i="26"/>
  <c r="FY19" i="26" s="1"/>
  <c r="IQ19" i="26" s="1"/>
  <c r="IB19" i="26"/>
  <c r="IC19" i="26"/>
  <c r="IA19" i="26"/>
  <c r="FS19" i="26"/>
  <c r="HY19" i="26"/>
  <c r="HW19" i="26"/>
  <c r="FI19" i="26" s="1"/>
  <c r="HZ19" i="26"/>
  <c r="FO19" i="26" s="1"/>
  <c r="IP19" i="26" s="1"/>
  <c r="HX19" i="26"/>
  <c r="P19" i="26"/>
  <c r="HU19" i="26"/>
  <c r="HS19" i="26"/>
  <c r="EY19" i="26" s="1"/>
  <c r="HV19" i="26"/>
  <c r="FE19" i="26" s="1"/>
  <c r="IO19" i="26" s="1"/>
  <c r="HT19" i="26"/>
  <c r="T19" i="26"/>
  <c r="HR19" i="26"/>
  <c r="HP19" i="26"/>
  <c r="EU19" i="26" s="1"/>
  <c r="IN19" i="26" s="1"/>
  <c r="HQ19" i="26"/>
  <c r="HO19" i="26"/>
  <c r="X19" i="23"/>
  <c r="IH19" i="23"/>
  <c r="IF19" i="23"/>
  <c r="IG19" i="23"/>
  <c r="IE19" i="23"/>
  <c r="GI19" i="23"/>
  <c r="IR19" i="23" s="1"/>
  <c r="ID16" i="20"/>
  <c r="FY16" i="20" s="1"/>
  <c r="IQ16" i="20" s="1"/>
  <c r="IB16" i="20"/>
  <c r="IC16" i="20"/>
  <c r="IA16" i="20"/>
  <c r="FS16" i="20" s="1"/>
  <c r="ID19" i="16"/>
  <c r="IB19" i="16"/>
  <c r="IC19" i="16"/>
  <c r="IA19" i="16"/>
  <c r="FY19" i="16"/>
  <c r="IQ19" i="16" s="1"/>
  <c r="V19" i="16"/>
  <c r="HZ19" i="16"/>
  <c r="HX19" i="16"/>
  <c r="HY19" i="16"/>
  <c r="HW19" i="16"/>
  <c r="FI19" i="16" s="1"/>
  <c r="FO19" i="16"/>
  <c r="IP19" i="16" s="1"/>
  <c r="P19" i="16"/>
  <c r="HV19" i="16"/>
  <c r="FE19" i="16" s="1"/>
  <c r="IO19" i="16" s="1"/>
  <c r="HT19" i="16"/>
  <c r="HU19" i="16"/>
  <c r="HS19" i="16"/>
  <c r="EY19" i="16"/>
  <c r="O19" i="16"/>
  <c r="HR19" i="16"/>
  <c r="HQ19" i="16"/>
  <c r="HO19" i="16"/>
  <c r="EO19" i="16" s="1"/>
  <c r="HP19" i="16"/>
  <c r="EU19" i="16" s="1"/>
  <c r="IN19" i="16" s="1"/>
  <c r="X17" i="16"/>
  <c r="IG17" i="16"/>
  <c r="GC17" i="16" s="1"/>
  <c r="IE17" i="16"/>
  <c r="IH17" i="16"/>
  <c r="GI17" i="16" s="1"/>
  <c r="IR17" i="16" s="1"/>
  <c r="IF17" i="16"/>
  <c r="R16" i="16"/>
  <c r="ID16" i="16"/>
  <c r="FY16" i="16" s="1"/>
  <c r="IQ16" i="16" s="1"/>
  <c r="IB16" i="16"/>
  <c r="IC16" i="16"/>
  <c r="IA16" i="16"/>
  <c r="FS16" i="16" s="1"/>
  <c r="IG19" i="14"/>
  <c r="IE19" i="14"/>
  <c r="GC19" i="14" s="1"/>
  <c r="IH19" i="14"/>
  <c r="GI19" i="14" s="1"/>
  <c r="IR19" i="14" s="1"/>
  <c r="IF19" i="14"/>
  <c r="R19" i="14"/>
  <c r="IC19" i="14"/>
  <c r="IA19" i="14"/>
  <c r="ID19" i="14"/>
  <c r="IB19" i="14"/>
  <c r="FS19" i="14"/>
  <c r="FY19" i="14"/>
  <c r="IQ19" i="14" s="1"/>
  <c r="V19" i="14"/>
  <c r="HZ19" i="14"/>
  <c r="HX19" i="14"/>
  <c r="HY19" i="14"/>
  <c r="HW19" i="14"/>
  <c r="FI19" i="14" s="1"/>
  <c r="FO19" i="14"/>
  <c r="IP19" i="14" s="1"/>
  <c r="P19" i="14"/>
  <c r="HV19" i="14"/>
  <c r="FE19" i="14" s="1"/>
  <c r="IO19" i="14" s="1"/>
  <c r="HT19" i="14"/>
  <c r="HU19" i="14"/>
  <c r="HS19" i="14"/>
  <c r="EY19" i="14"/>
  <c r="O19" i="14"/>
  <c r="HR19" i="14"/>
  <c r="HP19" i="14"/>
  <c r="HQ19" i="14"/>
  <c r="HO19" i="14"/>
  <c r="EO19" i="14" s="1"/>
  <c r="EU19" i="14"/>
  <c r="IN19" i="14" s="1"/>
  <c r="R16" i="14"/>
  <c r="IC16" i="14"/>
  <c r="IA16" i="14"/>
  <c r="FS16" i="14" s="1"/>
  <c r="ID16" i="14"/>
  <c r="FY16" i="14" s="1"/>
  <c r="IQ16" i="14" s="1"/>
  <c r="IB16" i="14"/>
  <c r="V19" i="29"/>
  <c r="HZ19" i="29"/>
  <c r="HX19" i="29"/>
  <c r="HY19" i="29"/>
  <c r="HW19" i="29"/>
  <c r="FI19" i="29" s="1"/>
  <c r="P19" i="29"/>
  <c r="HV19" i="29"/>
  <c r="FE19" i="29" s="1"/>
  <c r="IO19" i="29" s="1"/>
  <c r="HT19" i="29"/>
  <c r="HU19" i="29"/>
  <c r="HS19" i="29"/>
  <c r="EY19" i="29" s="1"/>
  <c r="T19" i="29"/>
  <c r="HQ19" i="29"/>
  <c r="HO19" i="29"/>
  <c r="EO19" i="29" s="1"/>
  <c r="HR19" i="29"/>
  <c r="HP19" i="29"/>
  <c r="O19" i="29"/>
  <c r="EU19" i="29"/>
  <c r="IN19" i="29" s="1"/>
  <c r="V19" i="28"/>
  <c r="HY19" i="28"/>
  <c r="HW19" i="28"/>
  <c r="FI19" i="28" s="1"/>
  <c r="IK19" i="28" s="1"/>
  <c r="HZ19" i="28"/>
  <c r="FO19" i="28" s="1"/>
  <c r="IP19" i="28" s="1"/>
  <c r="HX19" i="28"/>
  <c r="HV19" i="28"/>
  <c r="FE19" i="28" s="1"/>
  <c r="IO19" i="28" s="1"/>
  <c r="HT19" i="28"/>
  <c r="HU19" i="28"/>
  <c r="HS19" i="28"/>
  <c r="EY19" i="28"/>
  <c r="IJ19" i="28" s="1"/>
  <c r="T19" i="28"/>
  <c r="HR19" i="28"/>
  <c r="HP19" i="28"/>
  <c r="HQ19" i="28"/>
  <c r="HO19" i="28"/>
  <c r="EO19" i="28" s="1"/>
  <c r="EU19" i="28"/>
  <c r="IN19" i="28" s="1"/>
  <c r="R17" i="28"/>
  <c r="ID17" i="28"/>
  <c r="FY17" i="28" s="1"/>
  <c r="IQ17" i="28" s="1"/>
  <c r="IB17" i="28"/>
  <c r="IC17" i="28"/>
  <c r="IA17" i="28"/>
  <c r="FS17" i="28" s="1"/>
  <c r="IL17" i="28" s="1"/>
  <c r="W19" i="9"/>
  <c r="ID19" i="9"/>
  <c r="IC19" i="9"/>
  <c r="IA19" i="9"/>
  <c r="IB19" i="9"/>
  <c r="FY19" i="9"/>
  <c r="IQ19" i="9" s="1"/>
  <c r="FS19" i="9"/>
  <c r="IL19" i="9" s="1"/>
  <c r="O20" i="14"/>
  <c r="W19" i="23"/>
  <c r="ID19" i="23"/>
  <c r="IB19" i="23"/>
  <c r="IC19" i="23"/>
  <c r="IA19" i="23"/>
  <c r="FS19" i="23" s="1"/>
  <c r="FY19" i="23"/>
  <c r="IQ19" i="23" s="1"/>
  <c r="Q19" i="23"/>
  <c r="HZ19" i="23"/>
  <c r="FO19" i="23" s="1"/>
  <c r="IP19" i="23" s="1"/>
  <c r="HX19" i="23"/>
  <c r="HY19" i="23"/>
  <c r="HW19" i="23"/>
  <c r="FI19" i="23" s="1"/>
  <c r="P19" i="23"/>
  <c r="HV19" i="23"/>
  <c r="FE19" i="23" s="1"/>
  <c r="IO19" i="23" s="1"/>
  <c r="HT19" i="23"/>
  <c r="HU19" i="23"/>
  <c r="HS19" i="23"/>
  <c r="EY19" i="23" s="1"/>
  <c r="T19" i="23"/>
  <c r="HR19" i="23"/>
  <c r="HP19" i="23"/>
  <c r="HQ19" i="23"/>
  <c r="HO19" i="23"/>
  <c r="EO19" i="23" s="1"/>
  <c r="IH16" i="23"/>
  <c r="GI16" i="23" s="1"/>
  <c r="IR16" i="23" s="1"/>
  <c r="IF16" i="23"/>
  <c r="IG16" i="23"/>
  <c r="IE16" i="23"/>
  <c r="GC16" i="23"/>
  <c r="R16" i="23"/>
  <c r="ID16" i="23"/>
  <c r="FY16" i="23" s="1"/>
  <c r="IQ16" i="23" s="1"/>
  <c r="IB16" i="23"/>
  <c r="IC16" i="23"/>
  <c r="IA16" i="23"/>
  <c r="FS16" i="23" s="1"/>
  <c r="HZ19" i="25"/>
  <c r="HX19" i="25"/>
  <c r="HY19" i="25"/>
  <c r="HW19" i="25"/>
  <c r="FI19" i="25" s="1"/>
  <c r="FO19" i="25"/>
  <c r="IP19" i="25" s="1"/>
  <c r="U19" i="25"/>
  <c r="HV19" i="25"/>
  <c r="FE19" i="25" s="1"/>
  <c r="IO19" i="25" s="1"/>
  <c r="HT19" i="25"/>
  <c r="HU19" i="25"/>
  <c r="HS19" i="25"/>
  <c r="EY19" i="25" s="1"/>
  <c r="HR19" i="25"/>
  <c r="HP19" i="25"/>
  <c r="HQ19" i="25"/>
  <c r="HO19" i="25"/>
  <c r="EO19" i="25" s="1"/>
  <c r="EU19" i="25"/>
  <c r="IN19" i="25" s="1"/>
  <c r="W17" i="25"/>
  <c r="ID17" i="25"/>
  <c r="FY17" i="25" s="1"/>
  <c r="IQ17" i="25" s="1"/>
  <c r="IB17" i="25"/>
  <c r="IC17" i="25"/>
  <c r="IA17" i="25"/>
  <c r="FS17" i="25" s="1"/>
  <c r="IF17" i="26"/>
  <c r="IG17" i="26"/>
  <c r="IE17" i="26"/>
  <c r="IH17" i="26"/>
  <c r="GI17" i="26" s="1"/>
  <c r="IR17" i="26" s="1"/>
  <c r="GC17" i="26"/>
  <c r="W17" i="26"/>
  <c r="ID17" i="26"/>
  <c r="IB17" i="26"/>
  <c r="IC17" i="26"/>
  <c r="IA17" i="26"/>
  <c r="FS17" i="26" s="1"/>
  <c r="W18" i="21"/>
  <c r="ID18" i="21"/>
  <c r="FY18" i="21" s="1"/>
  <c r="IQ18" i="21" s="1"/>
  <c r="IC18" i="21"/>
  <c r="IA18" i="21"/>
  <c r="IB18" i="21"/>
  <c r="FS18" i="21"/>
  <c r="ID18" i="20"/>
  <c r="FY18" i="20" s="1"/>
  <c r="IQ18" i="20" s="1"/>
  <c r="IB18" i="20"/>
  <c r="IC18" i="20"/>
  <c r="IA18" i="20"/>
  <c r="FS18" i="20" s="1"/>
  <c r="HY19" i="19"/>
  <c r="HW19" i="19"/>
  <c r="FI19" i="19" s="1"/>
  <c r="HZ19" i="19"/>
  <c r="FO19" i="19" s="1"/>
  <c r="IP19" i="19" s="1"/>
  <c r="HX19" i="19"/>
  <c r="P19" i="19"/>
  <c r="HV19" i="19"/>
  <c r="FE19" i="19" s="1"/>
  <c r="IO19" i="19" s="1"/>
  <c r="HT19" i="19"/>
  <c r="HU19" i="19"/>
  <c r="HS19" i="19"/>
  <c r="EY19" i="19" s="1"/>
  <c r="T19" i="19"/>
  <c r="HR19" i="19"/>
  <c r="HP19" i="19"/>
  <c r="HQ19" i="19"/>
  <c r="HO19" i="19"/>
  <c r="EU19" i="19"/>
  <c r="IN19" i="19" s="1"/>
  <c r="R18" i="15"/>
  <c r="ID18" i="15"/>
  <c r="FY18" i="15" s="1"/>
  <c r="IQ18" i="15" s="1"/>
  <c r="IB18" i="15"/>
  <c r="IC18" i="15"/>
  <c r="IA18" i="15"/>
  <c r="FS18" i="15" s="1"/>
  <c r="X16" i="15"/>
  <c r="IH16" i="15"/>
  <c r="GI16" i="15" s="1"/>
  <c r="IR16" i="15" s="1"/>
  <c r="IF16" i="15"/>
  <c r="IG16" i="15"/>
  <c r="IE16" i="15"/>
  <c r="GC16" i="15" s="1"/>
  <c r="R16" i="15"/>
  <c r="IC16" i="15"/>
  <c r="IA16" i="15"/>
  <c r="FS16" i="15" s="1"/>
  <c r="ID16" i="15"/>
  <c r="FY16" i="15" s="1"/>
  <c r="IQ16" i="15" s="1"/>
  <c r="IB16" i="15"/>
  <c r="IH19" i="13"/>
  <c r="IF19" i="13"/>
  <c r="IG19" i="13"/>
  <c r="IE19" i="13"/>
  <c r="GC19" i="13" s="1"/>
  <c r="GI19" i="13"/>
  <c r="IR19" i="13" s="1"/>
  <c r="ID19" i="13"/>
  <c r="FY19" i="13" s="1"/>
  <c r="IQ19" i="13" s="1"/>
  <c r="IB19" i="13"/>
  <c r="IC19" i="13"/>
  <c r="IA19" i="13"/>
  <c r="FS19" i="13"/>
  <c r="HZ19" i="13"/>
  <c r="HX19" i="13"/>
  <c r="HY19" i="13"/>
  <c r="HW19" i="13"/>
  <c r="FI19" i="13" s="1"/>
  <c r="FO19" i="13"/>
  <c r="IP19" i="13" s="1"/>
  <c r="U19" i="13"/>
  <c r="HV19" i="13"/>
  <c r="FE19" i="13" s="1"/>
  <c r="IO19" i="13" s="1"/>
  <c r="HU19" i="13"/>
  <c r="HS19" i="13"/>
  <c r="EY19" i="13" s="1"/>
  <c r="HT19" i="13"/>
  <c r="HR19" i="13"/>
  <c r="HQ19" i="13"/>
  <c r="HO19" i="13"/>
  <c r="EO19" i="13" s="1"/>
  <c r="HP19" i="13"/>
  <c r="EU19" i="13"/>
  <c r="IN19" i="13" s="1"/>
  <c r="IH17" i="13"/>
  <c r="IF17" i="13"/>
  <c r="IG17" i="13"/>
  <c r="IE17" i="13"/>
  <c r="GC17" i="13" s="1"/>
  <c r="GI17" i="13"/>
  <c r="IR17" i="13" s="1"/>
  <c r="W17" i="13"/>
  <c r="ID17" i="13"/>
  <c r="FY17" i="13" s="1"/>
  <c r="IQ17" i="13" s="1"/>
  <c r="IB17" i="13"/>
  <c r="IC17" i="13"/>
  <c r="IA17" i="13"/>
  <c r="FS17" i="13" s="1"/>
  <c r="X17" i="29"/>
  <c r="IG17" i="29"/>
  <c r="IE17" i="29"/>
  <c r="GC17" i="29" s="1"/>
  <c r="IH17" i="29"/>
  <c r="IF17" i="29"/>
  <c r="GI17" i="29"/>
  <c r="IR17" i="29" s="1"/>
  <c r="ID18" i="28"/>
  <c r="IB18" i="28"/>
  <c r="IC18" i="28"/>
  <c r="IA18" i="28"/>
  <c r="FS18" i="28"/>
  <c r="IL18" i="28" s="1"/>
  <c r="FY19" i="31"/>
  <c r="IQ19" i="31" s="1"/>
  <c r="ID19" i="31"/>
  <c r="IB19" i="31"/>
  <c r="IC19" i="31"/>
  <c r="IA19" i="31"/>
  <c r="FS19" i="31" s="1"/>
  <c r="R19" i="10"/>
  <c r="ID19" i="10"/>
  <c r="IB19" i="10"/>
  <c r="IC19" i="10"/>
  <c r="IA19" i="10"/>
  <c r="FS19" i="10" s="1"/>
  <c r="FY19" i="10"/>
  <c r="IQ19" i="10" s="1"/>
  <c r="Q19" i="10"/>
  <c r="HZ19" i="10"/>
  <c r="HX19" i="10"/>
  <c r="HY19" i="10"/>
  <c r="HW19" i="10"/>
  <c r="FI19" i="10" s="1"/>
  <c r="FO19" i="10"/>
  <c r="IP19" i="10" s="1"/>
  <c r="P19" i="10"/>
  <c r="HT19" i="10"/>
  <c r="HU19" i="10"/>
  <c r="HS19" i="10"/>
  <c r="HV19" i="10"/>
  <c r="FE19" i="10" s="1"/>
  <c r="IO19" i="10" s="1"/>
  <c r="T19" i="10"/>
  <c r="HQ19" i="10"/>
  <c r="HO19" i="10"/>
  <c r="EO19" i="10" s="1"/>
  <c r="HR19" i="10"/>
  <c r="EU19" i="10" s="1"/>
  <c r="IN19" i="10" s="1"/>
  <c r="HP19" i="10"/>
  <c r="R20" i="9"/>
  <c r="ID20" i="9"/>
  <c r="IC20" i="9"/>
  <c r="IA20" i="9"/>
  <c r="FS20" i="9" s="1"/>
  <c r="IL20" i="9" s="1"/>
  <c r="IB20" i="9"/>
  <c r="V20" i="9"/>
  <c r="HY20" i="9"/>
  <c r="HW20" i="9"/>
  <c r="FI20" i="9" s="1"/>
  <c r="IK20" i="9" s="1"/>
  <c r="HZ20" i="9"/>
  <c r="HX20" i="9"/>
  <c r="FO20" i="9"/>
  <c r="IP20" i="9" s="1"/>
  <c r="U20" i="9"/>
  <c r="HV20" i="9"/>
  <c r="FE20" i="9" s="1"/>
  <c r="IO20" i="9" s="1"/>
  <c r="HU20" i="9"/>
  <c r="HS20" i="9"/>
  <c r="EY20" i="9" s="1"/>
  <c r="IJ20" i="9" s="1"/>
  <c r="HT20" i="9"/>
  <c r="T20" i="9"/>
  <c r="HQ20" i="9"/>
  <c r="HO20" i="9"/>
  <c r="EO20" i="9" s="1"/>
  <c r="II20" i="9" s="1"/>
  <c r="HR20" i="9"/>
  <c r="HP20" i="9"/>
  <c r="EU20" i="9"/>
  <c r="IN20" i="9" s="1"/>
  <c r="V19" i="9"/>
  <c r="HZ19" i="9"/>
  <c r="HX19" i="9"/>
  <c r="HY19" i="9"/>
  <c r="HW19" i="9"/>
  <c r="FI19" i="9" s="1"/>
  <c r="IK19" i="9" s="1"/>
  <c r="FO19" i="9"/>
  <c r="IP19" i="9" s="1"/>
  <c r="P19" i="9"/>
  <c r="HV19" i="9"/>
  <c r="HT19" i="9"/>
  <c r="HU19" i="9"/>
  <c r="HS19" i="9"/>
  <c r="EY19" i="9" s="1"/>
  <c r="T19" i="9"/>
  <c r="HQ19" i="9"/>
  <c r="HO19" i="9"/>
  <c r="HR19" i="9"/>
  <c r="HP19" i="9"/>
  <c r="R16" i="8"/>
  <c r="ID16" i="8"/>
  <c r="FY16" i="8" s="1"/>
  <c r="IQ16" i="8" s="1"/>
  <c r="IB16" i="8"/>
  <c r="IC16" i="8"/>
  <c r="IA16" i="8"/>
  <c r="FS16" i="8" s="1"/>
  <c r="R17" i="25"/>
  <c r="W20" i="20"/>
  <c r="R17" i="26"/>
  <c r="X20" i="9"/>
  <c r="S18" i="14"/>
  <c r="S20" i="15"/>
  <c r="S16" i="20"/>
  <c r="Q24" i="6"/>
  <c r="Q25" i="6" s="1"/>
  <c r="O20" i="19"/>
  <c r="O18" i="20"/>
  <c r="Q19" i="20"/>
  <c r="U20" i="25"/>
  <c r="S19" i="31"/>
  <c r="W17" i="19"/>
  <c r="X20" i="19"/>
  <c r="S18" i="20"/>
  <c r="T20" i="26"/>
  <c r="S19" i="30"/>
  <c r="R20" i="30"/>
  <c r="V19" i="10"/>
  <c r="R16" i="13"/>
  <c r="S20" i="23"/>
  <c r="W17" i="28"/>
  <c r="Q19" i="28"/>
  <c r="V20" i="29"/>
  <c r="V20" i="14"/>
  <c r="IH16" i="25"/>
  <c r="IF16" i="25"/>
  <c r="IG16" i="25"/>
  <c r="IE16" i="25"/>
  <c r="GC16" i="25" s="1"/>
  <c r="GI16" i="25"/>
  <c r="IR16" i="25" s="1"/>
  <c r="W16" i="25"/>
  <c r="IB16" i="25"/>
  <c r="IA16" i="25"/>
  <c r="FS16" i="25" s="1"/>
  <c r="ID16" i="25"/>
  <c r="FY16" i="25" s="1"/>
  <c r="IQ16" i="25" s="1"/>
  <c r="IC16" i="25"/>
  <c r="R16" i="25"/>
  <c r="Q16" i="25"/>
  <c r="HZ16" i="25"/>
  <c r="HY16" i="25"/>
  <c r="HX16" i="25"/>
  <c r="HW16" i="25"/>
  <c r="FI16" i="25" s="1"/>
  <c r="FO16" i="25"/>
  <c r="IP16" i="25" s="1"/>
  <c r="P16" i="25"/>
  <c r="HT16" i="25"/>
  <c r="HS16" i="25"/>
  <c r="EY16" i="25" s="1"/>
  <c r="HV16" i="25"/>
  <c r="FE16" i="25" s="1"/>
  <c r="IO16" i="25" s="1"/>
  <c r="HU16" i="25"/>
  <c r="HP16" i="25"/>
  <c r="HO16" i="25"/>
  <c r="HR16" i="25"/>
  <c r="EU16" i="25" s="1"/>
  <c r="IN16" i="25" s="1"/>
  <c r="HQ16" i="25"/>
  <c r="W18" i="25"/>
  <c r="ID18" i="25"/>
  <c r="IC18" i="25"/>
  <c r="IB18" i="25"/>
  <c r="IA18" i="25"/>
  <c r="FS18" i="25" s="1"/>
  <c r="Q18" i="25"/>
  <c r="HX18" i="25"/>
  <c r="HW18" i="25"/>
  <c r="FI18" i="25" s="1"/>
  <c r="HZ18" i="25"/>
  <c r="FO18" i="25" s="1"/>
  <c r="IP18" i="25" s="1"/>
  <c r="HY18" i="25"/>
  <c r="P18" i="25"/>
  <c r="HV18" i="25"/>
  <c r="HU18" i="25"/>
  <c r="HT18" i="25"/>
  <c r="HS18" i="25"/>
  <c r="EY18" i="25" s="1"/>
  <c r="HR18" i="25"/>
  <c r="EU18" i="25" s="1"/>
  <c r="IN18" i="25" s="1"/>
  <c r="HQ18" i="25"/>
  <c r="HP18" i="25"/>
  <c r="HO18" i="25"/>
  <c r="EO18" i="25" s="1"/>
  <c r="Q17" i="25"/>
  <c r="HX17" i="25"/>
  <c r="HW17" i="25"/>
  <c r="FI17" i="25" s="1"/>
  <c r="HZ17" i="25"/>
  <c r="FO17" i="25" s="1"/>
  <c r="IP17" i="25" s="1"/>
  <c r="HY17" i="25"/>
  <c r="P17" i="25"/>
  <c r="HV17" i="25"/>
  <c r="FE17" i="25" s="1"/>
  <c r="IO17" i="25" s="1"/>
  <c r="HU17" i="25"/>
  <c r="HT17" i="25"/>
  <c r="HS17" i="25"/>
  <c r="EY17" i="25" s="1"/>
  <c r="HR17" i="25"/>
  <c r="EU17" i="25" s="1"/>
  <c r="IN17" i="25" s="1"/>
  <c r="HQ17" i="25"/>
  <c r="HP17" i="25"/>
  <c r="HO17" i="25"/>
  <c r="EO17" i="25" s="1"/>
  <c r="V18" i="23"/>
  <c r="HZ18" i="23"/>
  <c r="HY18" i="23"/>
  <c r="HX18" i="23"/>
  <c r="HW18" i="23"/>
  <c r="FO18" i="23"/>
  <c r="IP18" i="23" s="1"/>
  <c r="P18" i="23"/>
  <c r="HT18" i="23"/>
  <c r="HS18" i="23"/>
  <c r="HV18" i="23"/>
  <c r="FE18" i="23" s="1"/>
  <c r="IO18" i="23" s="1"/>
  <c r="HU18" i="23"/>
  <c r="HP18" i="23"/>
  <c r="HQ18" i="23"/>
  <c r="HO18" i="23"/>
  <c r="HR18" i="23"/>
  <c r="EU18" i="23" s="1"/>
  <c r="IN18" i="23" s="1"/>
  <c r="IB17" i="23"/>
  <c r="IA17" i="23"/>
  <c r="FS17" i="23" s="1"/>
  <c r="ID17" i="23"/>
  <c r="FY17" i="23" s="1"/>
  <c r="IQ17" i="23" s="1"/>
  <c r="IC17" i="23"/>
  <c r="V17" i="23"/>
  <c r="HZ17" i="23"/>
  <c r="FO17" i="23" s="1"/>
  <c r="IP17" i="23" s="1"/>
  <c r="HW17" i="23"/>
  <c r="HY17" i="23"/>
  <c r="HX17" i="23"/>
  <c r="U17" i="23"/>
  <c r="HT17" i="23"/>
  <c r="HS17" i="23"/>
  <c r="EY17" i="23" s="1"/>
  <c r="HV17" i="23"/>
  <c r="HU17" i="23"/>
  <c r="T17" i="23"/>
  <c r="HP17" i="23"/>
  <c r="HO17" i="23"/>
  <c r="EO17" i="23" s="1"/>
  <c r="HR17" i="23"/>
  <c r="EU17" i="23" s="1"/>
  <c r="IN17" i="23" s="1"/>
  <c r="HQ17" i="23"/>
  <c r="R20" i="24"/>
  <c r="IB20" i="24"/>
  <c r="IA20" i="24"/>
  <c r="FS20" i="24" s="1"/>
  <c r="ID20" i="24"/>
  <c r="FY20" i="24" s="1"/>
  <c r="IQ20" i="24" s="1"/>
  <c r="IC20" i="24"/>
  <c r="Q20" i="24"/>
  <c r="HZ20" i="24"/>
  <c r="HY20" i="24"/>
  <c r="HX20" i="24"/>
  <c r="HW20" i="24"/>
  <c r="FI20" i="24" s="1"/>
  <c r="FO20" i="24"/>
  <c r="IP20" i="24" s="1"/>
  <c r="P20" i="24"/>
  <c r="HT20" i="24"/>
  <c r="HS20" i="24"/>
  <c r="HU20" i="24"/>
  <c r="HV20" i="24"/>
  <c r="FE20" i="24" s="1"/>
  <c r="IO20" i="24" s="1"/>
  <c r="EY20" i="24"/>
  <c r="T20" i="24"/>
  <c r="HP20" i="24"/>
  <c r="HO20" i="24"/>
  <c r="EO20" i="24" s="1"/>
  <c r="HR20" i="24"/>
  <c r="EU20" i="24" s="1"/>
  <c r="IN20" i="24" s="1"/>
  <c r="HQ20" i="24"/>
  <c r="S19" i="24"/>
  <c r="IH19" i="24"/>
  <c r="GI19" i="24" s="1"/>
  <c r="IR19" i="24" s="1"/>
  <c r="IG19" i="24"/>
  <c r="IF19" i="24"/>
  <c r="IE19" i="24"/>
  <c r="GC19" i="24" s="1"/>
  <c r="R19" i="24"/>
  <c r="IB19" i="24"/>
  <c r="IA19" i="24"/>
  <c r="FS19" i="24" s="1"/>
  <c r="ID19" i="24"/>
  <c r="FY19" i="24" s="1"/>
  <c r="IQ19" i="24" s="1"/>
  <c r="IC19" i="24"/>
  <c r="V19" i="24"/>
  <c r="HZ19" i="24"/>
  <c r="HX19" i="24"/>
  <c r="HY19" i="24"/>
  <c r="HW19" i="24"/>
  <c r="FI19" i="24" s="1"/>
  <c r="P19" i="24"/>
  <c r="HT19" i="24"/>
  <c r="HS19" i="24"/>
  <c r="EY19" i="24" s="1"/>
  <c r="HV19" i="24"/>
  <c r="FE19" i="24" s="1"/>
  <c r="IO19" i="24" s="1"/>
  <c r="HU19" i="24"/>
  <c r="T19" i="24"/>
  <c r="HP19" i="24"/>
  <c r="HO19" i="24"/>
  <c r="EO19" i="24" s="1"/>
  <c r="HR19" i="24"/>
  <c r="EU19" i="24" s="1"/>
  <c r="IN19" i="24" s="1"/>
  <c r="HQ19" i="24"/>
  <c r="O19" i="24"/>
  <c r="X17" i="24"/>
  <c r="IF17" i="24"/>
  <c r="IE17" i="24"/>
  <c r="GC17" i="24" s="1"/>
  <c r="IH17" i="24"/>
  <c r="GI17" i="24" s="1"/>
  <c r="IR17" i="24" s="1"/>
  <c r="IG17" i="24"/>
  <c r="R17" i="24"/>
  <c r="ID17" i="24"/>
  <c r="FY17" i="24" s="1"/>
  <c r="IQ17" i="24" s="1"/>
  <c r="IC17" i="24"/>
  <c r="IB17" i="24"/>
  <c r="IA17" i="24"/>
  <c r="FS17" i="24" s="1"/>
  <c r="V17" i="24"/>
  <c r="HX17" i="24"/>
  <c r="HW17" i="24"/>
  <c r="FI17" i="24" s="1"/>
  <c r="HZ17" i="24"/>
  <c r="FO17" i="24" s="1"/>
  <c r="IP17" i="24" s="1"/>
  <c r="HY17" i="24"/>
  <c r="P17" i="24"/>
  <c r="HV17" i="24"/>
  <c r="FE17" i="24" s="1"/>
  <c r="IO17" i="24" s="1"/>
  <c r="HU17" i="24"/>
  <c r="HS17" i="24"/>
  <c r="EY17" i="24" s="1"/>
  <c r="HT17" i="24"/>
  <c r="T17" i="24"/>
  <c r="HR17" i="24"/>
  <c r="EU17" i="24" s="1"/>
  <c r="IN17" i="24" s="1"/>
  <c r="HQ17" i="24"/>
  <c r="HP17" i="24"/>
  <c r="HO17" i="24"/>
  <c r="EO17" i="24" s="1"/>
  <c r="IE16" i="24"/>
  <c r="IG16" i="24"/>
  <c r="GC16" i="24" s="1"/>
  <c r="IH16" i="24"/>
  <c r="GI16" i="24" s="1"/>
  <c r="IR16" i="24" s="1"/>
  <c r="IF16" i="24"/>
  <c r="R16" i="24"/>
  <c r="ID16" i="24"/>
  <c r="IC16" i="24"/>
  <c r="IB16" i="24"/>
  <c r="FY16" i="24" s="1"/>
  <c r="IQ16" i="24" s="1"/>
  <c r="IA16" i="24"/>
  <c r="FS16" i="24" s="1"/>
  <c r="Q16" i="24"/>
  <c r="HX16" i="24"/>
  <c r="HW16" i="24"/>
  <c r="HZ16" i="24"/>
  <c r="FO16" i="24" s="1"/>
  <c r="IP16" i="24" s="1"/>
  <c r="HY16" i="24"/>
  <c r="P16" i="24"/>
  <c r="HV16" i="24"/>
  <c r="HU16" i="24"/>
  <c r="HT16" i="24"/>
  <c r="HS16" i="24"/>
  <c r="EY16" i="24" s="1"/>
  <c r="HP16" i="24"/>
  <c r="HO16" i="24"/>
  <c r="EO16" i="24" s="1"/>
  <c r="HR16" i="24"/>
  <c r="EU16" i="24" s="1"/>
  <c r="IN16" i="24" s="1"/>
  <c r="HQ16" i="24"/>
  <c r="V16" i="23"/>
  <c r="HZ16" i="23"/>
  <c r="HW16" i="23"/>
  <c r="FI16" i="23" s="1"/>
  <c r="HY16" i="23"/>
  <c r="HX16" i="23"/>
  <c r="U16" i="23"/>
  <c r="HT16" i="23"/>
  <c r="HS16" i="23"/>
  <c r="HV16" i="23"/>
  <c r="FE16" i="23" s="1"/>
  <c r="IO16" i="23" s="1"/>
  <c r="HU16" i="23"/>
  <c r="O16" i="23"/>
  <c r="HP16" i="23"/>
  <c r="HO16" i="23"/>
  <c r="EO16" i="23" s="1"/>
  <c r="HR16" i="23"/>
  <c r="HQ16" i="23"/>
  <c r="T16" i="23"/>
  <c r="X19" i="21"/>
  <c r="IH19" i="21"/>
  <c r="GI19" i="21" s="1"/>
  <c r="IR19" i="21" s="1"/>
  <c r="IG19" i="21"/>
  <c r="IF19" i="21"/>
  <c r="IE19" i="21"/>
  <c r="GC19" i="21" s="1"/>
  <c r="R18" i="24"/>
  <c r="IB18" i="24"/>
  <c r="IA18" i="24"/>
  <c r="FS18" i="24" s="1"/>
  <c r="ID18" i="24"/>
  <c r="FY18" i="24" s="1"/>
  <c r="IQ18" i="24" s="1"/>
  <c r="IC18" i="24"/>
  <c r="Q18" i="24"/>
  <c r="HZ18" i="24"/>
  <c r="HY18" i="24"/>
  <c r="HX18" i="24"/>
  <c r="HW18" i="24"/>
  <c r="P18" i="24"/>
  <c r="HT18" i="24"/>
  <c r="HS18" i="24"/>
  <c r="HV18" i="24"/>
  <c r="HU18" i="24"/>
  <c r="FE18" i="24"/>
  <c r="IO18" i="24" s="1"/>
  <c r="T18" i="24"/>
  <c r="HP18" i="24"/>
  <c r="HO18" i="24"/>
  <c r="HR18" i="24"/>
  <c r="EU18" i="24" s="1"/>
  <c r="IN18" i="24" s="1"/>
  <c r="HQ18" i="24"/>
  <c r="ID19" i="21"/>
  <c r="IC19" i="21"/>
  <c r="IB19" i="21"/>
  <c r="IA19" i="21"/>
  <c r="FY19" i="21"/>
  <c r="IQ19" i="21" s="1"/>
  <c r="V18" i="26"/>
  <c r="HZ18" i="26"/>
  <c r="HY18" i="26"/>
  <c r="HX18" i="26"/>
  <c r="HW18" i="26"/>
  <c r="FI18" i="26" s="1"/>
  <c r="FO18" i="26"/>
  <c r="IP18" i="26" s="1"/>
  <c r="P18" i="26"/>
  <c r="HT18" i="26"/>
  <c r="HU18" i="26"/>
  <c r="HS18" i="26"/>
  <c r="EY18" i="26" s="1"/>
  <c r="HV18" i="26"/>
  <c r="FE18" i="26" s="1"/>
  <c r="IO18" i="26" s="1"/>
  <c r="O18" i="26"/>
  <c r="HP18" i="26"/>
  <c r="HO18" i="26"/>
  <c r="HR18" i="26"/>
  <c r="HQ18" i="26"/>
  <c r="V17" i="26"/>
  <c r="HZ17" i="26"/>
  <c r="HY17" i="26"/>
  <c r="HX17" i="26"/>
  <c r="HW17" i="26"/>
  <c r="FI17" i="26" s="1"/>
  <c r="P17" i="26"/>
  <c r="HT17" i="26"/>
  <c r="HV17" i="26"/>
  <c r="FE17" i="26" s="1"/>
  <c r="IO17" i="26" s="1"/>
  <c r="HU17" i="26"/>
  <c r="HS17" i="26"/>
  <c r="T17" i="26"/>
  <c r="HP17" i="26"/>
  <c r="HQ17" i="26"/>
  <c r="HO17" i="26"/>
  <c r="EO17" i="26" s="1"/>
  <c r="HR17" i="26"/>
  <c r="EU17" i="26" s="1"/>
  <c r="IN17" i="26" s="1"/>
  <c r="IB16" i="26"/>
  <c r="IA16" i="26"/>
  <c r="FS16" i="26" s="1"/>
  <c r="IC16" i="26"/>
  <c r="ID16" i="26"/>
  <c r="FY16" i="26" s="1"/>
  <c r="IQ16" i="26" s="1"/>
  <c r="V16" i="26"/>
  <c r="HZ16" i="26"/>
  <c r="HY16" i="26"/>
  <c r="HX16" i="26"/>
  <c r="HW16" i="26"/>
  <c r="FI16" i="26" s="1"/>
  <c r="FO16" i="26"/>
  <c r="IP16" i="26" s="1"/>
  <c r="P16" i="26"/>
  <c r="HT16" i="26"/>
  <c r="HS16" i="26"/>
  <c r="EY16" i="26" s="1"/>
  <c r="HV16" i="26"/>
  <c r="FE16" i="26" s="1"/>
  <c r="IO16" i="26" s="1"/>
  <c r="HU16" i="26"/>
  <c r="T16" i="26"/>
  <c r="HP16" i="26"/>
  <c r="HO16" i="26"/>
  <c r="EO16" i="26" s="1"/>
  <c r="HR16" i="26"/>
  <c r="EU16" i="26" s="1"/>
  <c r="IN16" i="26" s="1"/>
  <c r="HQ16" i="26"/>
  <c r="V20" i="21"/>
  <c r="HZ20" i="21"/>
  <c r="HY20" i="21"/>
  <c r="HX20" i="21"/>
  <c r="HW20" i="21"/>
  <c r="FI20" i="21" s="1"/>
  <c r="FO20" i="21"/>
  <c r="IP20" i="21" s="1"/>
  <c r="P20" i="21"/>
  <c r="HT20" i="21"/>
  <c r="HS20" i="21"/>
  <c r="EY20" i="21" s="1"/>
  <c r="HV20" i="21"/>
  <c r="FE20" i="21" s="1"/>
  <c r="IO20" i="21" s="1"/>
  <c r="HU20" i="21"/>
  <c r="T20" i="21"/>
  <c r="HP20" i="21"/>
  <c r="HO20" i="21"/>
  <c r="HR20" i="21"/>
  <c r="HQ20" i="21"/>
  <c r="EU20" i="21"/>
  <c r="IN20" i="21" s="1"/>
  <c r="V19" i="21"/>
  <c r="HZ19" i="21"/>
  <c r="FO19" i="21" s="1"/>
  <c r="IP19" i="21" s="1"/>
  <c r="HY19" i="21"/>
  <c r="HX19" i="21"/>
  <c r="HW19" i="21"/>
  <c r="FI19" i="21"/>
  <c r="P19" i="21"/>
  <c r="HT19" i="21"/>
  <c r="HS19" i="21"/>
  <c r="EY19" i="21" s="1"/>
  <c r="HV19" i="21"/>
  <c r="FE19" i="21" s="1"/>
  <c r="IO19" i="21" s="1"/>
  <c r="HU19" i="21"/>
  <c r="HP19" i="21"/>
  <c r="HO19" i="21"/>
  <c r="EO19" i="21" s="1"/>
  <c r="HR19" i="21"/>
  <c r="EU19" i="21" s="1"/>
  <c r="IN19" i="21" s="1"/>
  <c r="HQ19" i="21"/>
  <c r="V18" i="21"/>
  <c r="HZ18" i="21"/>
  <c r="HY18" i="21"/>
  <c r="HX18" i="21"/>
  <c r="FO18" i="21" s="1"/>
  <c r="IP18" i="21" s="1"/>
  <c r="HW18" i="21"/>
  <c r="FI18" i="21"/>
  <c r="U18" i="21"/>
  <c r="HT18" i="21"/>
  <c r="HV18" i="21"/>
  <c r="FE18" i="21" s="1"/>
  <c r="IO18" i="21" s="1"/>
  <c r="HU18" i="21"/>
  <c r="HS18" i="21"/>
  <c r="EY18" i="21" s="1"/>
  <c r="T18" i="21"/>
  <c r="HP18" i="21"/>
  <c r="HO18" i="21"/>
  <c r="EO18" i="21" s="1"/>
  <c r="HQ18" i="21"/>
  <c r="HR18" i="21"/>
  <c r="EU18" i="21" s="1"/>
  <c r="IN18" i="21" s="1"/>
  <c r="X17" i="21"/>
  <c r="IH17" i="21"/>
  <c r="GI17" i="21" s="1"/>
  <c r="IR17" i="21" s="1"/>
  <c r="IG17" i="21"/>
  <c r="IF17" i="21"/>
  <c r="IE17" i="21"/>
  <c r="GC17" i="21" s="1"/>
  <c r="R17" i="21"/>
  <c r="IB17" i="21"/>
  <c r="IA17" i="21"/>
  <c r="FS17" i="21" s="1"/>
  <c r="ID17" i="21"/>
  <c r="FY17" i="21" s="1"/>
  <c r="IQ17" i="21" s="1"/>
  <c r="IC17" i="21"/>
  <c r="Q17" i="21"/>
  <c r="HZ17" i="21"/>
  <c r="HW17" i="21"/>
  <c r="FI17" i="21" s="1"/>
  <c r="HY17" i="21"/>
  <c r="HX17" i="21"/>
  <c r="FO17" i="21"/>
  <c r="IP17" i="21" s="1"/>
  <c r="V17" i="21"/>
  <c r="P17" i="21"/>
  <c r="HT17" i="21"/>
  <c r="HS17" i="21"/>
  <c r="EY17" i="21" s="1"/>
  <c r="HV17" i="21"/>
  <c r="FE17" i="21" s="1"/>
  <c r="IO17" i="21" s="1"/>
  <c r="HU17" i="21"/>
  <c r="T17" i="21"/>
  <c r="HP17" i="21"/>
  <c r="HO17" i="21"/>
  <c r="HR17" i="21"/>
  <c r="EU17" i="21" s="1"/>
  <c r="IN17" i="21" s="1"/>
  <c r="HQ17" i="21"/>
  <c r="X16" i="21"/>
  <c r="IH16" i="21"/>
  <c r="IG16" i="21"/>
  <c r="IF16" i="21"/>
  <c r="IE16" i="21"/>
  <c r="GC16" i="21" s="1"/>
  <c r="GI16" i="21"/>
  <c r="IR16" i="21" s="1"/>
  <c r="R16" i="21"/>
  <c r="IB16" i="21"/>
  <c r="IA16" i="21"/>
  <c r="FS16" i="21" s="1"/>
  <c r="ID16" i="21"/>
  <c r="FY16" i="21" s="1"/>
  <c r="IQ16" i="21" s="1"/>
  <c r="IC16" i="21"/>
  <c r="Q16" i="21"/>
  <c r="HZ16" i="21"/>
  <c r="HY16" i="21"/>
  <c r="HX16" i="21"/>
  <c r="HW16" i="21"/>
  <c r="FO16" i="21"/>
  <c r="IP16" i="21" s="1"/>
  <c r="U16" i="21"/>
  <c r="HT16" i="21"/>
  <c r="HS16" i="21"/>
  <c r="EY16" i="21" s="1"/>
  <c r="HV16" i="21"/>
  <c r="FE16" i="21" s="1"/>
  <c r="IO16" i="21" s="1"/>
  <c r="HU16" i="21"/>
  <c r="T16" i="21"/>
  <c r="HP16" i="21"/>
  <c r="HO16" i="21"/>
  <c r="EO16" i="21" s="1"/>
  <c r="HR16" i="21"/>
  <c r="EU16" i="21" s="1"/>
  <c r="IN16" i="21" s="1"/>
  <c r="HQ16" i="21"/>
  <c r="W19" i="17"/>
  <c r="IB19" i="17"/>
  <c r="IA19" i="17"/>
  <c r="FS19" i="17" s="1"/>
  <c r="ID19" i="17"/>
  <c r="IC19" i="17"/>
  <c r="FY19" i="17"/>
  <c r="IQ19" i="17" s="1"/>
  <c r="Q19" i="17"/>
  <c r="HZ19" i="17"/>
  <c r="FO19" i="17" s="1"/>
  <c r="IP19" i="17" s="1"/>
  <c r="HX19" i="17"/>
  <c r="HY19" i="17"/>
  <c r="HW19" i="17"/>
  <c r="FI19" i="17" s="1"/>
  <c r="V19" i="17"/>
  <c r="P19" i="17"/>
  <c r="HT19" i="17"/>
  <c r="HS19" i="17"/>
  <c r="EY19" i="17" s="1"/>
  <c r="HV19" i="17"/>
  <c r="FE19" i="17" s="1"/>
  <c r="IO19" i="17" s="1"/>
  <c r="HU19" i="17"/>
  <c r="T19" i="17"/>
  <c r="HP19" i="17"/>
  <c r="HO19" i="17"/>
  <c r="EO19" i="17" s="1"/>
  <c r="HR19" i="17"/>
  <c r="EU19" i="17" s="1"/>
  <c r="IN19" i="17" s="1"/>
  <c r="HQ19" i="17"/>
  <c r="R16" i="17"/>
  <c r="IB16" i="17"/>
  <c r="IA16" i="17"/>
  <c r="FS16" i="17" s="1"/>
  <c r="ID16" i="17"/>
  <c r="FY16" i="17" s="1"/>
  <c r="IQ16" i="17" s="1"/>
  <c r="IC16" i="17"/>
  <c r="V16" i="17"/>
  <c r="HZ16" i="17"/>
  <c r="HY16" i="17"/>
  <c r="HX16" i="17"/>
  <c r="HW16" i="17"/>
  <c r="FO16" i="17"/>
  <c r="IP16" i="17" s="1"/>
  <c r="U16" i="17"/>
  <c r="HT16" i="17"/>
  <c r="HU16" i="17"/>
  <c r="HS16" i="17"/>
  <c r="EY16" i="17" s="1"/>
  <c r="HV16" i="17"/>
  <c r="FE16" i="17" s="1"/>
  <c r="IO16" i="17" s="1"/>
  <c r="O16" i="17"/>
  <c r="HP16" i="17"/>
  <c r="HR16" i="17"/>
  <c r="EU16" i="17" s="1"/>
  <c r="IN16" i="17" s="1"/>
  <c r="HQ16" i="17"/>
  <c r="HO16" i="17"/>
  <c r="EO16" i="17" s="1"/>
  <c r="R17" i="15"/>
  <c r="IB17" i="15"/>
  <c r="IA17" i="15"/>
  <c r="FS17" i="15" s="1"/>
  <c r="ID17" i="15"/>
  <c r="FY17" i="15" s="1"/>
  <c r="IQ17" i="15" s="1"/>
  <c r="IC17" i="15"/>
  <c r="Q17" i="15"/>
  <c r="HZ17" i="15"/>
  <c r="HX17" i="15"/>
  <c r="HW17" i="15"/>
  <c r="FI17" i="15" s="1"/>
  <c r="HY17" i="15"/>
  <c r="FO17" i="15"/>
  <c r="IP17" i="15" s="1"/>
  <c r="P17" i="15"/>
  <c r="HT17" i="15"/>
  <c r="HV17" i="15"/>
  <c r="FE17" i="15" s="1"/>
  <c r="IO17" i="15" s="1"/>
  <c r="HU17" i="15"/>
  <c r="HS17" i="15"/>
  <c r="EY17" i="15" s="1"/>
  <c r="HP17" i="15"/>
  <c r="HO17" i="15"/>
  <c r="HR17" i="15"/>
  <c r="EU17" i="15" s="1"/>
  <c r="IN17" i="15" s="1"/>
  <c r="HQ17" i="15"/>
  <c r="R18" i="17"/>
  <c r="IB18" i="17"/>
  <c r="IA18" i="17"/>
  <c r="FS18" i="17" s="1"/>
  <c r="ID18" i="17"/>
  <c r="FY18" i="17" s="1"/>
  <c r="IQ18" i="17" s="1"/>
  <c r="IC18" i="17"/>
  <c r="W18" i="17"/>
  <c r="V18" i="17"/>
  <c r="HZ18" i="17"/>
  <c r="FO18" i="17" s="1"/>
  <c r="IP18" i="17" s="1"/>
  <c r="HY18" i="17"/>
  <c r="HX18" i="17"/>
  <c r="HW18" i="17"/>
  <c r="U18" i="17"/>
  <c r="HT18" i="17"/>
  <c r="HS18" i="17"/>
  <c r="HV18" i="17"/>
  <c r="FE18" i="17" s="1"/>
  <c r="IO18" i="17" s="1"/>
  <c r="HU18" i="17"/>
  <c r="T18" i="17"/>
  <c r="HP18" i="17"/>
  <c r="HO18" i="17"/>
  <c r="HR18" i="17"/>
  <c r="EU18" i="17" s="1"/>
  <c r="IN18" i="17" s="1"/>
  <c r="HQ18" i="17"/>
  <c r="R19" i="15"/>
  <c r="IB19" i="15"/>
  <c r="IA19" i="15"/>
  <c r="ID19" i="15"/>
  <c r="FY19" i="15" s="1"/>
  <c r="IQ19" i="15" s="1"/>
  <c r="IC19" i="15"/>
  <c r="V19" i="15"/>
  <c r="HZ19" i="15"/>
  <c r="HY19" i="15"/>
  <c r="HX19" i="15"/>
  <c r="HW19" i="15"/>
  <c r="FI19" i="15" s="1"/>
  <c r="FO19" i="15"/>
  <c r="IP19" i="15" s="1"/>
  <c r="P19" i="15"/>
  <c r="HT19" i="15"/>
  <c r="HS19" i="15"/>
  <c r="EY19" i="15" s="1"/>
  <c r="HV19" i="15"/>
  <c r="FE19" i="15" s="1"/>
  <c r="IO19" i="15" s="1"/>
  <c r="HU19" i="15"/>
  <c r="HP19" i="15"/>
  <c r="HO19" i="15"/>
  <c r="HR19" i="15"/>
  <c r="HQ19" i="15"/>
  <c r="V18" i="20"/>
  <c r="HX18" i="20"/>
  <c r="HW18" i="20"/>
  <c r="HZ18" i="20"/>
  <c r="FO18" i="20" s="1"/>
  <c r="IP18" i="20" s="1"/>
  <c r="HY18" i="20"/>
  <c r="U18" i="20"/>
  <c r="HV18" i="20"/>
  <c r="HS18" i="20"/>
  <c r="HU18" i="20"/>
  <c r="HT18" i="20"/>
  <c r="HR18" i="20"/>
  <c r="HQ18" i="20"/>
  <c r="HP18" i="20"/>
  <c r="HO18" i="20"/>
  <c r="EO18" i="20" s="1"/>
  <c r="V18" i="19"/>
  <c r="HX18" i="19"/>
  <c r="HW18" i="19"/>
  <c r="HZ18" i="19"/>
  <c r="FO18" i="19" s="1"/>
  <c r="IP18" i="19" s="1"/>
  <c r="HY18" i="19"/>
  <c r="P18" i="19"/>
  <c r="HV18" i="19"/>
  <c r="HU18" i="19"/>
  <c r="HT18" i="19"/>
  <c r="HS18" i="19"/>
  <c r="HR18" i="19"/>
  <c r="HQ18" i="19"/>
  <c r="HP18" i="19"/>
  <c r="HO18" i="19"/>
  <c r="O18" i="19"/>
  <c r="T18" i="19"/>
  <c r="V16" i="20"/>
  <c r="HX16" i="20"/>
  <c r="HW16" i="20"/>
  <c r="FI16" i="20" s="1"/>
  <c r="HZ16" i="20"/>
  <c r="FO16" i="20" s="1"/>
  <c r="IP16" i="20" s="1"/>
  <c r="HY16" i="20"/>
  <c r="U16" i="20"/>
  <c r="HV16" i="20"/>
  <c r="FE16" i="20" s="1"/>
  <c r="IO16" i="20" s="1"/>
  <c r="HT16" i="20"/>
  <c r="HS16" i="20"/>
  <c r="EY16" i="20" s="1"/>
  <c r="HU16" i="20"/>
  <c r="T16" i="20"/>
  <c r="HR16" i="20"/>
  <c r="HQ16" i="20"/>
  <c r="HP16" i="20"/>
  <c r="HO16" i="20"/>
  <c r="EO16" i="20" s="1"/>
  <c r="V17" i="20"/>
  <c r="HX17" i="20"/>
  <c r="HW17" i="20"/>
  <c r="FI17" i="20" s="1"/>
  <c r="HZ17" i="20"/>
  <c r="FO17" i="20" s="1"/>
  <c r="IP17" i="20" s="1"/>
  <c r="HY17" i="20"/>
  <c r="U17" i="20"/>
  <c r="HV17" i="20"/>
  <c r="FE17" i="20" s="1"/>
  <c r="IO17" i="20" s="1"/>
  <c r="HU17" i="20"/>
  <c r="HS17" i="20"/>
  <c r="EY17" i="20" s="1"/>
  <c r="HT17" i="20"/>
  <c r="HR17" i="20"/>
  <c r="HQ17" i="20"/>
  <c r="HO17" i="20"/>
  <c r="EO17" i="20" s="1"/>
  <c r="HP17" i="20"/>
  <c r="IF16" i="19"/>
  <c r="IE16" i="19"/>
  <c r="GC16" i="19" s="1"/>
  <c r="IH16" i="19"/>
  <c r="GI16" i="19" s="1"/>
  <c r="IR16" i="19" s="1"/>
  <c r="IG16" i="19"/>
  <c r="R16" i="19"/>
  <c r="ID16" i="19"/>
  <c r="FY16" i="19" s="1"/>
  <c r="IQ16" i="19" s="1"/>
  <c r="IC16" i="19"/>
  <c r="IB16" i="19"/>
  <c r="IA16" i="19"/>
  <c r="FS16" i="19" s="1"/>
  <c r="V16" i="19"/>
  <c r="HX16" i="19"/>
  <c r="HW16" i="19"/>
  <c r="FI16" i="19" s="1"/>
  <c r="HZ16" i="19"/>
  <c r="FO16" i="19" s="1"/>
  <c r="IP16" i="19" s="1"/>
  <c r="HY16" i="19"/>
  <c r="U16" i="19"/>
  <c r="HV16" i="19"/>
  <c r="HU16" i="19"/>
  <c r="HT16" i="19"/>
  <c r="HS16" i="19"/>
  <c r="EY16" i="19" s="1"/>
  <c r="O16" i="19"/>
  <c r="HR16" i="19"/>
  <c r="EU16" i="19" s="1"/>
  <c r="IN16" i="19" s="1"/>
  <c r="HQ16" i="19"/>
  <c r="HP16" i="19"/>
  <c r="HO16" i="19"/>
  <c r="V17" i="19"/>
  <c r="HX17" i="19"/>
  <c r="HW17" i="19"/>
  <c r="HZ17" i="19"/>
  <c r="FO17" i="19" s="1"/>
  <c r="IP17" i="19" s="1"/>
  <c r="HY17" i="19"/>
  <c r="FI17" i="19" s="1"/>
  <c r="P17" i="19"/>
  <c r="HV17" i="19"/>
  <c r="FE17" i="19" s="1"/>
  <c r="IO17" i="19" s="1"/>
  <c r="HT17" i="19"/>
  <c r="HS17" i="19"/>
  <c r="EY17" i="19" s="1"/>
  <c r="HU17" i="19"/>
  <c r="HR17" i="19"/>
  <c r="EU17" i="19" s="1"/>
  <c r="IN17" i="19" s="1"/>
  <c r="HQ17" i="19"/>
  <c r="HP17" i="19"/>
  <c r="HO17" i="19"/>
  <c r="R17" i="17"/>
  <c r="IA17" i="17"/>
  <c r="FS17" i="17" s="1"/>
  <c r="IC17" i="17"/>
  <c r="ID17" i="17"/>
  <c r="FY17" i="17" s="1"/>
  <c r="IQ17" i="17" s="1"/>
  <c r="IB17" i="17"/>
  <c r="V17" i="17"/>
  <c r="HZ17" i="17"/>
  <c r="HY17" i="17"/>
  <c r="HX17" i="17"/>
  <c r="HW17" i="17"/>
  <c r="FI17" i="17" s="1"/>
  <c r="FO17" i="17"/>
  <c r="IP17" i="17" s="1"/>
  <c r="P17" i="17"/>
  <c r="HT17" i="17"/>
  <c r="HS17" i="17"/>
  <c r="EY17" i="17" s="1"/>
  <c r="HV17" i="17"/>
  <c r="FE17" i="17" s="1"/>
  <c r="IO17" i="17" s="1"/>
  <c r="HU17" i="17"/>
  <c r="HP17" i="17"/>
  <c r="HR17" i="17"/>
  <c r="EU17" i="17" s="1"/>
  <c r="IN17" i="17" s="1"/>
  <c r="HQ17" i="17"/>
  <c r="HO17" i="17"/>
  <c r="EO17" i="17" s="1"/>
  <c r="X18" i="16"/>
  <c r="IF18" i="16"/>
  <c r="IE18" i="16"/>
  <c r="GC18" i="16" s="1"/>
  <c r="IH18" i="16"/>
  <c r="GI18" i="16" s="1"/>
  <c r="IR18" i="16" s="1"/>
  <c r="IG18" i="16"/>
  <c r="W18" i="16"/>
  <c r="ID18" i="16"/>
  <c r="FY18" i="16" s="1"/>
  <c r="IQ18" i="16" s="1"/>
  <c r="IC18" i="16"/>
  <c r="IB18" i="16"/>
  <c r="IA18" i="16"/>
  <c r="FS18" i="16" s="1"/>
  <c r="R18" i="16"/>
  <c r="HX18" i="16"/>
  <c r="HW18" i="16"/>
  <c r="HZ18" i="16"/>
  <c r="FO18" i="16" s="1"/>
  <c r="IP18" i="16" s="1"/>
  <c r="HY18" i="16"/>
  <c r="HV18" i="16"/>
  <c r="HU18" i="16"/>
  <c r="HT18" i="16"/>
  <c r="HS18" i="16"/>
  <c r="EY18" i="16" s="1"/>
  <c r="T18" i="16"/>
  <c r="HR18" i="16"/>
  <c r="EU18" i="16" s="1"/>
  <c r="IN18" i="16" s="1"/>
  <c r="HQ18" i="16"/>
  <c r="HP18" i="16"/>
  <c r="HO18" i="16"/>
  <c r="HX18" i="15"/>
  <c r="HZ18" i="15"/>
  <c r="FO18" i="15" s="1"/>
  <c r="IP18" i="15" s="1"/>
  <c r="HY18" i="15"/>
  <c r="HW18" i="15"/>
  <c r="FI18" i="15" s="1"/>
  <c r="P18" i="15"/>
  <c r="HV18" i="15"/>
  <c r="FE18" i="15" s="1"/>
  <c r="IO18" i="15" s="1"/>
  <c r="HU18" i="15"/>
  <c r="HT18" i="15"/>
  <c r="HS18" i="15"/>
  <c r="EY18" i="15" s="1"/>
  <c r="U18" i="15"/>
  <c r="T18" i="15"/>
  <c r="HR18" i="15"/>
  <c r="HQ18" i="15"/>
  <c r="HP18" i="15"/>
  <c r="HO18" i="15"/>
  <c r="EO18" i="15" s="1"/>
  <c r="S20" i="31"/>
  <c r="IH20" i="31"/>
  <c r="GI20" i="31" s="1"/>
  <c r="IR20" i="31" s="1"/>
  <c r="IG20" i="31"/>
  <c r="IF20" i="31"/>
  <c r="IE20" i="31"/>
  <c r="GC20" i="31" s="1"/>
  <c r="IB20" i="31"/>
  <c r="IA20" i="31"/>
  <c r="ID20" i="31"/>
  <c r="FY20" i="31" s="1"/>
  <c r="IQ20" i="31" s="1"/>
  <c r="IC20" i="31"/>
  <c r="FS20" i="31"/>
  <c r="V20" i="31"/>
  <c r="HZ20" i="31"/>
  <c r="HY20" i="31"/>
  <c r="HX20" i="31"/>
  <c r="HW20" i="31"/>
  <c r="FO20" i="31"/>
  <c r="IP20" i="31" s="1"/>
  <c r="FI20" i="31"/>
  <c r="U20" i="31"/>
  <c r="HT20" i="31"/>
  <c r="HS20" i="31"/>
  <c r="EY20" i="31" s="1"/>
  <c r="HV20" i="31"/>
  <c r="FE20" i="31" s="1"/>
  <c r="IO20" i="31" s="1"/>
  <c r="HU20" i="31"/>
  <c r="O20" i="31"/>
  <c r="HP20" i="31"/>
  <c r="HO20" i="31"/>
  <c r="EO20" i="31" s="1"/>
  <c r="HR20" i="31"/>
  <c r="EU20" i="31" s="1"/>
  <c r="IN20" i="31" s="1"/>
  <c r="HQ20" i="31"/>
  <c r="ID16" i="31"/>
  <c r="FY16" i="31" s="1"/>
  <c r="IQ16" i="31" s="1"/>
  <c r="IC16" i="31"/>
  <c r="IB16" i="31"/>
  <c r="IA16" i="31"/>
  <c r="FS16" i="31" s="1"/>
  <c r="HZ16" i="15"/>
  <c r="HW16" i="15"/>
  <c r="FI16" i="15" s="1"/>
  <c r="HY16" i="15"/>
  <c r="HX16" i="15"/>
  <c r="P16" i="15"/>
  <c r="HT16" i="15"/>
  <c r="HS16" i="15"/>
  <c r="EY16" i="15" s="1"/>
  <c r="HV16" i="15"/>
  <c r="FE16" i="15" s="1"/>
  <c r="IO16" i="15" s="1"/>
  <c r="HU16" i="15"/>
  <c r="HP16" i="15"/>
  <c r="HO16" i="15"/>
  <c r="EO16" i="15" s="1"/>
  <c r="HR16" i="15"/>
  <c r="EU16" i="15" s="1"/>
  <c r="IN16" i="15" s="1"/>
  <c r="HQ16" i="15"/>
  <c r="Q18" i="14"/>
  <c r="HX18" i="14"/>
  <c r="HW18" i="14"/>
  <c r="HZ18" i="14"/>
  <c r="FO18" i="14" s="1"/>
  <c r="IP18" i="14" s="1"/>
  <c r="HY18" i="14"/>
  <c r="P18" i="14"/>
  <c r="HV18" i="14"/>
  <c r="HU18" i="14"/>
  <c r="HS18" i="14"/>
  <c r="EY18" i="14" s="1"/>
  <c r="HT18" i="14"/>
  <c r="FE18" i="14"/>
  <c r="IO18" i="14" s="1"/>
  <c r="T18" i="14"/>
  <c r="HR18" i="14"/>
  <c r="HQ18" i="14"/>
  <c r="HP18" i="14"/>
  <c r="HO18" i="14"/>
  <c r="EO18" i="14" s="1"/>
  <c r="Q16" i="14"/>
  <c r="HX16" i="14"/>
  <c r="HW16" i="14"/>
  <c r="FI16" i="14" s="1"/>
  <c r="HZ16" i="14"/>
  <c r="FO16" i="14" s="1"/>
  <c r="IP16" i="14" s="1"/>
  <c r="HY16" i="14"/>
  <c r="V16" i="14"/>
  <c r="HT16" i="14"/>
  <c r="HS16" i="14"/>
  <c r="EY16" i="14" s="1"/>
  <c r="HV16" i="14"/>
  <c r="HU16" i="14"/>
  <c r="T16" i="14"/>
  <c r="HP16" i="14"/>
  <c r="HR16" i="14"/>
  <c r="HQ16" i="14"/>
  <c r="HO16" i="14"/>
  <c r="EO16" i="14" s="1"/>
  <c r="O16" i="14"/>
  <c r="IB17" i="16"/>
  <c r="IA17" i="16"/>
  <c r="FS17" i="16" s="1"/>
  <c r="ID17" i="16"/>
  <c r="FY17" i="16" s="1"/>
  <c r="IQ17" i="16" s="1"/>
  <c r="IC17" i="16"/>
  <c r="Q17" i="16"/>
  <c r="HZ17" i="16"/>
  <c r="FO17" i="16" s="1"/>
  <c r="IP17" i="16" s="1"/>
  <c r="HY17" i="16"/>
  <c r="HX17" i="16"/>
  <c r="HW17" i="16"/>
  <c r="FI17" i="16" s="1"/>
  <c r="HT17" i="16"/>
  <c r="HS17" i="16"/>
  <c r="HV17" i="16"/>
  <c r="HU17" i="16"/>
  <c r="HP17" i="16"/>
  <c r="HO17" i="16"/>
  <c r="EO17" i="16" s="1"/>
  <c r="HR17" i="16"/>
  <c r="EU17" i="16" s="1"/>
  <c r="IN17" i="16" s="1"/>
  <c r="HQ17" i="16"/>
  <c r="Q18" i="13"/>
  <c r="HX18" i="13"/>
  <c r="HZ18" i="13"/>
  <c r="FO18" i="13" s="1"/>
  <c r="IP18" i="13" s="1"/>
  <c r="HY18" i="13"/>
  <c r="HW18" i="13"/>
  <c r="P18" i="13"/>
  <c r="HV18" i="13"/>
  <c r="HU18" i="13"/>
  <c r="HT18" i="13"/>
  <c r="HS18" i="13"/>
  <c r="EY18" i="13" s="1"/>
  <c r="HR18" i="13"/>
  <c r="HQ18" i="13"/>
  <c r="HP18" i="13"/>
  <c r="HO18" i="13"/>
  <c r="EO18" i="13" s="1"/>
  <c r="Q17" i="13"/>
  <c r="HX17" i="13"/>
  <c r="HW17" i="13"/>
  <c r="HY17" i="13"/>
  <c r="HZ17" i="13"/>
  <c r="P17" i="13"/>
  <c r="HV17" i="13"/>
  <c r="FE17" i="13" s="1"/>
  <c r="IO17" i="13" s="1"/>
  <c r="HS17" i="13"/>
  <c r="EY17" i="13" s="1"/>
  <c r="HU17" i="13"/>
  <c r="HT17" i="13"/>
  <c r="HR17" i="13"/>
  <c r="EU17" i="13" s="1"/>
  <c r="IN17" i="13" s="1"/>
  <c r="HQ17" i="13"/>
  <c r="HP17" i="13"/>
  <c r="HO17" i="13"/>
  <c r="EO17" i="13" s="1"/>
  <c r="Q16" i="16"/>
  <c r="HZ16" i="16"/>
  <c r="FO16" i="16" s="1"/>
  <c r="IP16" i="16" s="1"/>
  <c r="HX16" i="16"/>
  <c r="HW16" i="16"/>
  <c r="FI16" i="16" s="1"/>
  <c r="HY16" i="16"/>
  <c r="HT16" i="16"/>
  <c r="HU16" i="16"/>
  <c r="HS16" i="16"/>
  <c r="EY16" i="16" s="1"/>
  <c r="HV16" i="16"/>
  <c r="FE16" i="16" s="1"/>
  <c r="IO16" i="16" s="1"/>
  <c r="T16" i="16"/>
  <c r="HP16" i="16"/>
  <c r="HO16" i="16"/>
  <c r="HR16" i="16"/>
  <c r="EU16" i="16" s="1"/>
  <c r="IN16" i="16" s="1"/>
  <c r="HQ16" i="16"/>
  <c r="R17" i="14"/>
  <c r="IC17" i="14"/>
  <c r="IB17" i="14"/>
  <c r="IA17" i="14"/>
  <c r="FS17" i="14" s="1"/>
  <c r="ID17" i="14"/>
  <c r="FY17" i="14"/>
  <c r="IQ17" i="14" s="1"/>
  <c r="V17" i="14"/>
  <c r="HX17" i="14"/>
  <c r="HZ17" i="14"/>
  <c r="FO17" i="14" s="1"/>
  <c r="IP17" i="14" s="1"/>
  <c r="HY17" i="14"/>
  <c r="HW17" i="14"/>
  <c r="HV17" i="14"/>
  <c r="FE17" i="14" s="1"/>
  <c r="IO17" i="14" s="1"/>
  <c r="HU17" i="14"/>
  <c r="HT17" i="14"/>
  <c r="HS17" i="14"/>
  <c r="EY17" i="14" s="1"/>
  <c r="T17" i="14"/>
  <c r="HR17" i="14"/>
  <c r="EU17" i="14" s="1"/>
  <c r="IN17" i="14" s="1"/>
  <c r="HP17" i="14"/>
  <c r="HQ17" i="14"/>
  <c r="HO17" i="14"/>
  <c r="EO17" i="14" s="1"/>
  <c r="S18" i="31"/>
  <c r="IH18" i="31"/>
  <c r="GI18" i="31" s="1"/>
  <c r="IR18" i="31" s="1"/>
  <c r="IG18" i="31"/>
  <c r="IF18" i="31"/>
  <c r="IE18" i="31"/>
  <c r="GC18" i="31" s="1"/>
  <c r="IB18" i="31"/>
  <c r="IA18" i="31"/>
  <c r="FS18" i="31" s="1"/>
  <c r="ID18" i="31"/>
  <c r="FY18" i="31" s="1"/>
  <c r="IQ18" i="31" s="1"/>
  <c r="IC18" i="31"/>
  <c r="V18" i="31"/>
  <c r="HZ18" i="31"/>
  <c r="HX18" i="31"/>
  <c r="HY18" i="31"/>
  <c r="HW18" i="31"/>
  <c r="FO18" i="31"/>
  <c r="IP18" i="31" s="1"/>
  <c r="U18" i="31"/>
  <c r="HT18" i="31"/>
  <c r="HS18" i="31"/>
  <c r="HV18" i="31"/>
  <c r="HU18" i="31"/>
  <c r="O18" i="31"/>
  <c r="HP18" i="31"/>
  <c r="HO18" i="31"/>
  <c r="HR18" i="31"/>
  <c r="EU18" i="31" s="1"/>
  <c r="IN18" i="31" s="1"/>
  <c r="HQ18" i="31"/>
  <c r="IB17" i="31"/>
  <c r="IA17" i="31"/>
  <c r="FS17" i="31" s="1"/>
  <c r="ID17" i="31"/>
  <c r="FY17" i="31" s="1"/>
  <c r="IQ17" i="31" s="1"/>
  <c r="IC17" i="31"/>
  <c r="HT19" i="31"/>
  <c r="HS19" i="31"/>
  <c r="HV19" i="31"/>
  <c r="FE19" i="31" s="1"/>
  <c r="IO19" i="31" s="1"/>
  <c r="HU19" i="31"/>
  <c r="Q19" i="31"/>
  <c r="HX19" i="31"/>
  <c r="HW19" i="31"/>
  <c r="FI19" i="31" s="1"/>
  <c r="HZ19" i="31"/>
  <c r="FO19" i="31" s="1"/>
  <c r="IP19" i="31" s="1"/>
  <c r="HY19" i="31"/>
  <c r="T19" i="31"/>
  <c r="HP19" i="31"/>
  <c r="HO19" i="31"/>
  <c r="HR19" i="31"/>
  <c r="EU19" i="31" s="1"/>
  <c r="IN19" i="31" s="1"/>
  <c r="HQ19" i="31"/>
  <c r="V17" i="31"/>
  <c r="HZ17" i="31"/>
  <c r="HY17" i="31"/>
  <c r="HX17" i="31"/>
  <c r="HW17" i="31"/>
  <c r="FI17" i="31" s="1"/>
  <c r="FO17" i="31"/>
  <c r="IP17" i="31" s="1"/>
  <c r="U17" i="31"/>
  <c r="HT17" i="31"/>
  <c r="HS17" i="31"/>
  <c r="HV17" i="31"/>
  <c r="FE17" i="31" s="1"/>
  <c r="IO17" i="31" s="1"/>
  <c r="HU17" i="31"/>
  <c r="O17" i="31"/>
  <c r="HP17" i="31"/>
  <c r="HO17" i="31"/>
  <c r="HR17" i="31"/>
  <c r="EU17" i="31" s="1"/>
  <c r="IN17" i="31" s="1"/>
  <c r="HQ17" i="31"/>
  <c r="V16" i="31"/>
  <c r="HZ16" i="31"/>
  <c r="HY16" i="31"/>
  <c r="HX16" i="31"/>
  <c r="HW16" i="31"/>
  <c r="FI16" i="31" s="1"/>
  <c r="FO16" i="31"/>
  <c r="IP16" i="31" s="1"/>
  <c r="P16" i="31"/>
  <c r="HT16" i="31"/>
  <c r="HV16" i="31"/>
  <c r="FE16" i="31" s="1"/>
  <c r="IO16" i="31" s="1"/>
  <c r="HU16" i="31"/>
  <c r="HS16" i="31"/>
  <c r="O16" i="31"/>
  <c r="HP16" i="31"/>
  <c r="HO16" i="31"/>
  <c r="EO16" i="31" s="1"/>
  <c r="HR16" i="31"/>
  <c r="EU16" i="31" s="1"/>
  <c r="IN16" i="31" s="1"/>
  <c r="HQ16" i="31"/>
  <c r="Q16" i="13"/>
  <c r="HZ16" i="13"/>
  <c r="HY16" i="13"/>
  <c r="HX16" i="13"/>
  <c r="HW16" i="13"/>
  <c r="FO16" i="13"/>
  <c r="IP16" i="13" s="1"/>
  <c r="P16" i="13"/>
  <c r="HT16" i="13"/>
  <c r="HS16" i="13"/>
  <c r="EY16" i="13" s="1"/>
  <c r="HU16" i="13"/>
  <c r="HV16" i="13"/>
  <c r="FE16" i="13" s="1"/>
  <c r="IO16" i="13" s="1"/>
  <c r="HP16" i="13"/>
  <c r="HO16" i="13"/>
  <c r="HR16" i="13"/>
  <c r="EU16" i="13" s="1"/>
  <c r="IN16" i="13" s="1"/>
  <c r="HQ16" i="13"/>
  <c r="X18" i="29"/>
  <c r="IH18" i="29"/>
  <c r="IG18" i="29"/>
  <c r="IF18" i="29"/>
  <c r="IE18" i="29"/>
  <c r="GC18" i="29" s="1"/>
  <c r="S18" i="29"/>
  <c r="GI18" i="29"/>
  <c r="IR18" i="29" s="1"/>
  <c r="IB18" i="29"/>
  <c r="ID18" i="29"/>
  <c r="FY18" i="29" s="1"/>
  <c r="IQ18" i="29" s="1"/>
  <c r="IC18" i="29"/>
  <c r="IA18" i="29"/>
  <c r="FS18" i="29" s="1"/>
  <c r="V18" i="29"/>
  <c r="HZ18" i="29"/>
  <c r="FO18" i="29" s="1"/>
  <c r="IP18" i="29" s="1"/>
  <c r="HY18" i="29"/>
  <c r="HX18" i="29"/>
  <c r="HW18" i="29"/>
  <c r="FI18" i="29" s="1"/>
  <c r="U18" i="29"/>
  <c r="HT18" i="29"/>
  <c r="HS18" i="29"/>
  <c r="HV18" i="29"/>
  <c r="FE18" i="29" s="1"/>
  <c r="IO18" i="29" s="1"/>
  <c r="HU18" i="29"/>
  <c r="T18" i="29"/>
  <c r="HP18" i="29"/>
  <c r="HO18" i="29"/>
  <c r="HR18" i="29"/>
  <c r="EU18" i="29" s="1"/>
  <c r="IN18" i="29" s="1"/>
  <c r="HQ18" i="29"/>
  <c r="V18" i="28"/>
  <c r="HZ18" i="28"/>
  <c r="HX18" i="28"/>
  <c r="HW18" i="28"/>
  <c r="FI18" i="28" s="1"/>
  <c r="IK18" i="28" s="1"/>
  <c r="HY18" i="28"/>
  <c r="U18" i="28"/>
  <c r="HT18" i="28"/>
  <c r="HS18" i="28"/>
  <c r="EY18" i="28" s="1"/>
  <c r="HV18" i="28"/>
  <c r="FE18" i="28" s="1"/>
  <c r="IO18" i="28" s="1"/>
  <c r="HU18" i="28"/>
  <c r="HR18" i="28"/>
  <c r="HQ18" i="28"/>
  <c r="HP18" i="28"/>
  <c r="HO18" i="28"/>
  <c r="EO18" i="28" s="1"/>
  <c r="II18" i="28" s="1"/>
  <c r="O18" i="28"/>
  <c r="V18" i="30"/>
  <c r="HX18" i="30"/>
  <c r="HW18" i="30"/>
  <c r="HZ18" i="30"/>
  <c r="HY18" i="30"/>
  <c r="P18" i="30"/>
  <c r="HT18" i="30"/>
  <c r="HS18" i="30"/>
  <c r="HV18" i="30"/>
  <c r="HU18" i="30"/>
  <c r="U18" i="30"/>
  <c r="EY18" i="30"/>
  <c r="HP18" i="30"/>
  <c r="HO18" i="30"/>
  <c r="HR18" i="30"/>
  <c r="HQ18" i="30"/>
  <c r="W16" i="30"/>
  <c r="ID16" i="30"/>
  <c r="IC16" i="30"/>
  <c r="IB16" i="30"/>
  <c r="IA16" i="30"/>
  <c r="FS16" i="30" s="1"/>
  <c r="Q16" i="30"/>
  <c r="HX16" i="30"/>
  <c r="HW16" i="30"/>
  <c r="HZ16" i="30"/>
  <c r="FO16" i="30" s="1"/>
  <c r="IP16" i="30" s="1"/>
  <c r="HY16" i="30"/>
  <c r="P16" i="30"/>
  <c r="HV16" i="30"/>
  <c r="FE16" i="30" s="1"/>
  <c r="IO16" i="30" s="1"/>
  <c r="HU16" i="30"/>
  <c r="HT16" i="30"/>
  <c r="HS16" i="30"/>
  <c r="HR16" i="30"/>
  <c r="EU16" i="30" s="1"/>
  <c r="IN16" i="30" s="1"/>
  <c r="HQ16" i="30"/>
  <c r="HP16" i="30"/>
  <c r="HO16" i="30"/>
  <c r="EO16" i="30" s="1"/>
  <c r="R16" i="29"/>
  <c r="ID16" i="29"/>
  <c r="FY16" i="29" s="1"/>
  <c r="IQ16" i="29" s="1"/>
  <c r="IC16" i="29"/>
  <c r="IB16" i="29"/>
  <c r="IA16" i="29"/>
  <c r="FS16" i="29" s="1"/>
  <c r="Q16" i="29"/>
  <c r="HW16" i="29"/>
  <c r="FI16" i="29" s="1"/>
  <c r="HZ16" i="29"/>
  <c r="HY16" i="29"/>
  <c r="HX16" i="29"/>
  <c r="U16" i="29"/>
  <c r="HV16" i="29"/>
  <c r="FE16" i="29" s="1"/>
  <c r="IO16" i="29" s="1"/>
  <c r="HU16" i="29"/>
  <c r="HT16" i="29"/>
  <c r="HS16" i="29"/>
  <c r="T16" i="29"/>
  <c r="HR16" i="29"/>
  <c r="EU16" i="29" s="1"/>
  <c r="IN16" i="29" s="1"/>
  <c r="HQ16" i="29"/>
  <c r="HP16" i="29"/>
  <c r="HO16" i="29"/>
  <c r="EO16" i="29" s="1"/>
  <c r="O16" i="29"/>
  <c r="X16" i="28"/>
  <c r="IH16" i="28"/>
  <c r="GI16" i="28" s="1"/>
  <c r="IR16" i="28" s="1"/>
  <c r="IG16" i="28"/>
  <c r="IF16" i="28"/>
  <c r="IE16" i="28"/>
  <c r="GC16" i="28"/>
  <c r="IM16" i="28" s="1"/>
  <c r="R16" i="28"/>
  <c r="IB16" i="28"/>
  <c r="IA16" i="28"/>
  <c r="FS16" i="28" s="1"/>
  <c r="ID16" i="28"/>
  <c r="FY16" i="28" s="1"/>
  <c r="IQ16" i="28" s="1"/>
  <c r="IC16" i="28"/>
  <c r="W16" i="28"/>
  <c r="V16" i="28"/>
  <c r="HX16" i="28"/>
  <c r="HW16" i="28"/>
  <c r="FI16" i="28" s="1"/>
  <c r="HZ16" i="28"/>
  <c r="FO16" i="28" s="1"/>
  <c r="IP16" i="28" s="1"/>
  <c r="HY16" i="28"/>
  <c r="U16" i="28"/>
  <c r="HT16" i="28"/>
  <c r="HU16" i="28"/>
  <c r="HS16" i="28"/>
  <c r="EY16" i="28" s="1"/>
  <c r="HV16" i="28"/>
  <c r="FE16" i="28" s="1"/>
  <c r="IO16" i="28" s="1"/>
  <c r="T16" i="28"/>
  <c r="HP16" i="28"/>
  <c r="HO16" i="28"/>
  <c r="EO16" i="28" s="1"/>
  <c r="HR16" i="28"/>
  <c r="EU16" i="28" s="1"/>
  <c r="IN16" i="28" s="1"/>
  <c r="HQ16" i="28"/>
  <c r="W17" i="30"/>
  <c r="ID17" i="30"/>
  <c r="FY17" i="30" s="1"/>
  <c r="IQ17" i="30" s="1"/>
  <c r="IC17" i="30"/>
  <c r="IB17" i="30"/>
  <c r="IA17" i="30"/>
  <c r="FS17" i="30" s="1"/>
  <c r="Q17" i="30"/>
  <c r="HX17" i="30"/>
  <c r="HW17" i="30"/>
  <c r="HZ17" i="30"/>
  <c r="FO17" i="30" s="1"/>
  <c r="IP17" i="30" s="1"/>
  <c r="HY17" i="30"/>
  <c r="P17" i="30"/>
  <c r="HV17" i="30"/>
  <c r="HU17" i="30"/>
  <c r="HS17" i="30"/>
  <c r="EY17" i="30" s="1"/>
  <c r="HT17" i="30"/>
  <c r="HR17" i="30"/>
  <c r="HQ17" i="30"/>
  <c r="HP17" i="30"/>
  <c r="HO17" i="30"/>
  <c r="EO17" i="30" s="1"/>
  <c r="V17" i="28"/>
  <c r="HZ17" i="28"/>
  <c r="HY17" i="28"/>
  <c r="HW17" i="28"/>
  <c r="HX17" i="28"/>
  <c r="U17" i="28"/>
  <c r="HT17" i="28"/>
  <c r="HS17" i="28"/>
  <c r="EY17" i="28" s="1"/>
  <c r="HV17" i="28"/>
  <c r="FE17" i="28" s="1"/>
  <c r="IO17" i="28" s="1"/>
  <c r="HU17" i="28"/>
  <c r="HP17" i="28"/>
  <c r="HO17" i="28"/>
  <c r="HR17" i="28"/>
  <c r="EU17" i="28" s="1"/>
  <c r="IN17" i="28" s="1"/>
  <c r="HQ17" i="28"/>
  <c r="IB17" i="29"/>
  <c r="IA17" i="29"/>
  <c r="FS17" i="29" s="1"/>
  <c r="ID17" i="29"/>
  <c r="FY17" i="29" s="1"/>
  <c r="IQ17" i="29" s="1"/>
  <c r="IC17" i="29"/>
  <c r="V17" i="29"/>
  <c r="HZ17" i="29"/>
  <c r="HY17" i="29"/>
  <c r="HX17" i="29"/>
  <c r="HW17" i="29"/>
  <c r="FI17" i="29" s="1"/>
  <c r="FO17" i="29"/>
  <c r="IP17" i="29" s="1"/>
  <c r="U17" i="29"/>
  <c r="HT17" i="29"/>
  <c r="HS17" i="29"/>
  <c r="EY17" i="29" s="1"/>
  <c r="HV17" i="29"/>
  <c r="FE17" i="29" s="1"/>
  <c r="IO17" i="29" s="1"/>
  <c r="HU17" i="29"/>
  <c r="T17" i="29"/>
  <c r="HP17" i="29"/>
  <c r="HO17" i="29"/>
  <c r="EO17" i="29" s="1"/>
  <c r="HR17" i="29"/>
  <c r="HQ17" i="29"/>
  <c r="R20" i="8"/>
  <c r="IB20" i="8"/>
  <c r="IA20" i="8"/>
  <c r="FS20" i="8" s="1"/>
  <c r="ID20" i="8"/>
  <c r="FY20" i="8" s="1"/>
  <c r="IQ20" i="8" s="1"/>
  <c r="IC20" i="8"/>
  <c r="V20" i="8"/>
  <c r="HZ20" i="8"/>
  <c r="HY20" i="8"/>
  <c r="HX20" i="8"/>
  <c r="HW20" i="8"/>
  <c r="FI20" i="8" s="1"/>
  <c r="IK20" i="8" s="1"/>
  <c r="FO20" i="8"/>
  <c r="IP20" i="8" s="1"/>
  <c r="U20" i="8"/>
  <c r="HT20" i="8"/>
  <c r="HS20" i="8"/>
  <c r="EY20" i="8" s="1"/>
  <c r="HV20" i="8"/>
  <c r="FE20" i="8" s="1"/>
  <c r="IO20" i="8" s="1"/>
  <c r="HU20" i="8"/>
  <c r="HP20" i="8"/>
  <c r="HO20" i="8"/>
  <c r="EO20" i="8" s="1"/>
  <c r="II20" i="8" s="1"/>
  <c r="HR20" i="8"/>
  <c r="EU20" i="8" s="1"/>
  <c r="IN20" i="8" s="1"/>
  <c r="HQ20" i="8"/>
  <c r="IB19" i="8"/>
  <c r="IA19" i="8"/>
  <c r="FS19" i="8" s="1"/>
  <c r="ID19" i="8"/>
  <c r="FY19" i="8" s="1"/>
  <c r="IQ19" i="8" s="1"/>
  <c r="IC19" i="8"/>
  <c r="Q19" i="8"/>
  <c r="HZ19" i="8"/>
  <c r="FO19" i="8" s="1"/>
  <c r="IP19" i="8" s="1"/>
  <c r="HY19" i="8"/>
  <c r="HX19" i="8"/>
  <c r="HW19" i="8"/>
  <c r="FI19" i="8" s="1"/>
  <c r="IK19" i="8" s="1"/>
  <c r="U19" i="8"/>
  <c r="HT19" i="8"/>
  <c r="HS19" i="8"/>
  <c r="EY19" i="8" s="1"/>
  <c r="IJ19" i="8" s="1"/>
  <c r="HV19" i="8"/>
  <c r="FE19" i="8" s="1"/>
  <c r="IO19" i="8" s="1"/>
  <c r="HU19" i="8"/>
  <c r="O19" i="8"/>
  <c r="HP19" i="8"/>
  <c r="HO19" i="8"/>
  <c r="EO19" i="8" s="1"/>
  <c r="II19" i="8" s="1"/>
  <c r="HQ19" i="8"/>
  <c r="HR19" i="8"/>
  <c r="IH16" i="9"/>
  <c r="IG16" i="9"/>
  <c r="IF16" i="9"/>
  <c r="IE16" i="9"/>
  <c r="GC16" i="9" s="1"/>
  <c r="X16" i="9"/>
  <c r="O17" i="10"/>
  <c r="HR17" i="10"/>
  <c r="EU17" i="10" s="1"/>
  <c r="IN17" i="10" s="1"/>
  <c r="HP17" i="10"/>
  <c r="HO17" i="10"/>
  <c r="EO17" i="10" s="1"/>
  <c r="II17" i="10" s="1"/>
  <c r="HQ17" i="10"/>
  <c r="P18" i="10"/>
  <c r="HV18" i="10"/>
  <c r="HU18" i="10"/>
  <c r="HT18" i="10"/>
  <c r="HS18" i="10"/>
  <c r="EY18" i="10" s="1"/>
  <c r="IJ18" i="10" s="1"/>
  <c r="P17" i="10"/>
  <c r="HV17" i="10"/>
  <c r="FE17" i="10" s="1"/>
  <c r="IO17" i="10" s="1"/>
  <c r="HU17" i="10"/>
  <c r="HT17" i="10"/>
  <c r="HS17" i="10"/>
  <c r="EY17" i="10" s="1"/>
  <c r="V18" i="10"/>
  <c r="HZ18" i="10"/>
  <c r="HY18" i="10"/>
  <c r="HX18" i="10"/>
  <c r="HW18" i="10"/>
  <c r="FI18" i="10" s="1"/>
  <c r="IK18" i="10" s="1"/>
  <c r="FO18" i="10"/>
  <c r="IP18" i="10" s="1"/>
  <c r="V17" i="10"/>
  <c r="HZ17" i="10"/>
  <c r="HX17" i="10"/>
  <c r="HW17" i="10"/>
  <c r="FI17" i="10" s="1"/>
  <c r="HY17" i="10"/>
  <c r="R17" i="10"/>
  <c r="ID17" i="10"/>
  <c r="FY17" i="10" s="1"/>
  <c r="IQ17" i="10" s="1"/>
  <c r="IC17" i="10"/>
  <c r="IB17" i="10"/>
  <c r="IA17" i="10"/>
  <c r="FS17" i="10"/>
  <c r="IL17" i="10" s="1"/>
  <c r="O18" i="10"/>
  <c r="HR18" i="10"/>
  <c r="HQ18" i="10"/>
  <c r="HP18" i="10"/>
  <c r="HO18" i="10"/>
  <c r="EO18" i="10" s="1"/>
  <c r="II18" i="10" s="1"/>
  <c r="W17" i="8"/>
  <c r="IB17" i="8"/>
  <c r="IA17" i="8"/>
  <c r="FS17" i="8" s="1"/>
  <c r="ID17" i="8"/>
  <c r="FY17" i="8" s="1"/>
  <c r="IQ17" i="8" s="1"/>
  <c r="IC17" i="8"/>
  <c r="V18" i="9"/>
  <c r="HZ18" i="9"/>
  <c r="HY18" i="9"/>
  <c r="HX18" i="9"/>
  <c r="HW18" i="9"/>
  <c r="FI18" i="9" s="1"/>
  <c r="IK18" i="9" s="1"/>
  <c r="U18" i="9"/>
  <c r="HT18" i="9"/>
  <c r="HS18" i="9"/>
  <c r="EY18" i="9" s="1"/>
  <c r="HU18" i="9"/>
  <c r="HV18" i="9"/>
  <c r="T18" i="9"/>
  <c r="HP18" i="9"/>
  <c r="HO18" i="9"/>
  <c r="HR18" i="9"/>
  <c r="EU18" i="9" s="1"/>
  <c r="IN18" i="9" s="1"/>
  <c r="HQ18" i="9"/>
  <c r="R16" i="9"/>
  <c r="ID16" i="9"/>
  <c r="IB16" i="9"/>
  <c r="IA16" i="9"/>
  <c r="FS16" i="9" s="1"/>
  <c r="IC16" i="9"/>
  <c r="FY16" i="9"/>
  <c r="IQ16" i="9" s="1"/>
  <c r="V16" i="9"/>
  <c r="HX16" i="9"/>
  <c r="HY16" i="9"/>
  <c r="HW16" i="9"/>
  <c r="FI16" i="9" s="1"/>
  <c r="HZ16" i="9"/>
  <c r="P16" i="9"/>
  <c r="HV16" i="9"/>
  <c r="FE16" i="9" s="1"/>
  <c r="IO16" i="9" s="1"/>
  <c r="HU16" i="9"/>
  <c r="HT16" i="9"/>
  <c r="HS16" i="9"/>
  <c r="EY16" i="9" s="1"/>
  <c r="HR16" i="9"/>
  <c r="HQ16" i="9"/>
  <c r="HP16" i="9"/>
  <c r="HO16" i="9"/>
  <c r="EU16" i="9"/>
  <c r="IN16" i="9" s="1"/>
  <c r="R17" i="9"/>
  <c r="IB17" i="9"/>
  <c r="IA17" i="9"/>
  <c r="FS17" i="9" s="1"/>
  <c r="ID17" i="9"/>
  <c r="FY17" i="9" s="1"/>
  <c r="IQ17" i="9" s="1"/>
  <c r="IC17" i="9"/>
  <c r="V17" i="9"/>
  <c r="HZ17" i="9"/>
  <c r="FO17" i="9" s="1"/>
  <c r="IP17" i="9" s="1"/>
  <c r="HY17" i="9"/>
  <c r="HX17" i="9"/>
  <c r="HW17" i="9"/>
  <c r="FI17" i="9" s="1"/>
  <c r="P17" i="9"/>
  <c r="HT17" i="9"/>
  <c r="HS17" i="9"/>
  <c r="HV17" i="9"/>
  <c r="FE17" i="9" s="1"/>
  <c r="IO17" i="9" s="1"/>
  <c r="HU17" i="9"/>
  <c r="T17" i="9"/>
  <c r="HP17" i="9"/>
  <c r="HQ17" i="9"/>
  <c r="HO17" i="9"/>
  <c r="EO17" i="9" s="1"/>
  <c r="HR17" i="9"/>
  <c r="R16" i="10"/>
  <c r="IB16" i="10"/>
  <c r="IA16" i="10"/>
  <c r="FS16" i="10" s="1"/>
  <c r="IL16" i="10" s="1"/>
  <c r="ID16" i="10"/>
  <c r="FY16" i="10" s="1"/>
  <c r="IQ16" i="10" s="1"/>
  <c r="IC16" i="10"/>
  <c r="V16" i="10"/>
  <c r="HZ16" i="10"/>
  <c r="FO16" i="10" s="1"/>
  <c r="IP16" i="10" s="1"/>
  <c r="HY16" i="10"/>
  <c r="HW16" i="10"/>
  <c r="FI16" i="10" s="1"/>
  <c r="IK16" i="10" s="1"/>
  <c r="HX16" i="10"/>
  <c r="P16" i="10"/>
  <c r="HT16" i="10"/>
  <c r="HS16" i="10"/>
  <c r="EY16" i="10" s="1"/>
  <c r="IJ16" i="10" s="1"/>
  <c r="HV16" i="10"/>
  <c r="FE16" i="10" s="1"/>
  <c r="IO16" i="10" s="1"/>
  <c r="HU16" i="10"/>
  <c r="O16" i="10"/>
  <c r="HP16" i="10"/>
  <c r="HO16" i="10"/>
  <c r="EO16" i="10" s="1"/>
  <c r="II16" i="10" s="1"/>
  <c r="HR16" i="10"/>
  <c r="EU16" i="10" s="1"/>
  <c r="IN16" i="10" s="1"/>
  <c r="HQ16" i="10"/>
  <c r="W19" i="8"/>
  <c r="R19" i="8"/>
  <c r="V18" i="15"/>
  <c r="Q18" i="15"/>
  <c r="Q19" i="9"/>
  <c r="X16" i="14"/>
  <c r="S16" i="14"/>
  <c r="P17" i="14"/>
  <c r="U17" i="14"/>
  <c r="T20" i="15"/>
  <c r="O20" i="15"/>
  <c r="W16" i="16"/>
  <c r="S17" i="16"/>
  <c r="T16" i="17"/>
  <c r="X20" i="20"/>
  <c r="S20" i="20"/>
  <c r="W16" i="29"/>
  <c r="R17" i="29"/>
  <c r="W17" i="29"/>
  <c r="V17" i="30"/>
  <c r="O20" i="8"/>
  <c r="T20" i="8"/>
  <c r="Q16" i="15"/>
  <c r="V16" i="15"/>
  <c r="W16" i="23"/>
  <c r="R17" i="13"/>
  <c r="W17" i="23"/>
  <c r="R17" i="23"/>
  <c r="X18" i="23"/>
  <c r="S18" i="23"/>
  <c r="R19" i="25"/>
  <c r="W19" i="25"/>
  <c r="W18" i="26"/>
  <c r="R18" i="26"/>
  <c r="T17" i="16"/>
  <c r="O17" i="16"/>
  <c r="S16" i="17"/>
  <c r="X16" i="17"/>
  <c r="V20" i="25"/>
  <c r="Q20" i="25"/>
  <c r="V16" i="13"/>
  <c r="W20" i="13"/>
  <c r="R20" i="13"/>
  <c r="T16" i="15"/>
  <c r="O16" i="15"/>
  <c r="O19" i="15"/>
  <c r="T19" i="15"/>
  <c r="S16" i="19"/>
  <c r="X16" i="19"/>
  <c r="R16" i="20"/>
  <c r="W16" i="20"/>
  <c r="T18" i="23"/>
  <c r="O18" i="23"/>
  <c r="T16" i="9"/>
  <c r="O16" i="9"/>
  <c r="X17" i="9"/>
  <c r="P18" i="9"/>
  <c r="P20" i="9"/>
  <c r="R19" i="13"/>
  <c r="W19" i="13"/>
  <c r="S16" i="15"/>
  <c r="U17" i="15"/>
  <c r="Q20" i="15"/>
  <c r="V20" i="15"/>
  <c r="X18" i="17"/>
  <c r="S18" i="17"/>
  <c r="T16" i="19"/>
  <c r="T19" i="21"/>
  <c r="O19" i="21"/>
  <c r="U16" i="24"/>
  <c r="W16" i="26"/>
  <c r="R16" i="26"/>
  <c r="S17" i="26"/>
  <c r="X17" i="26"/>
  <c r="X18" i="19"/>
  <c r="U19" i="19"/>
  <c r="U20" i="21"/>
  <c r="T20" i="23"/>
  <c r="U17" i="24"/>
  <c r="U18" i="24"/>
  <c r="X19" i="24"/>
  <c r="U20" i="24"/>
  <c r="V16" i="25"/>
  <c r="X20" i="26"/>
  <c r="X18" i="28"/>
  <c r="W20" i="29"/>
  <c r="Q18" i="30"/>
  <c r="V20" i="30"/>
  <c r="U19" i="23"/>
  <c r="V17" i="25"/>
  <c r="U18" i="25"/>
  <c r="U19" i="26"/>
  <c r="U16" i="10"/>
  <c r="U17" i="10"/>
  <c r="U20" i="10"/>
  <c r="V17" i="13"/>
  <c r="U18" i="13"/>
  <c r="S20" i="14"/>
  <c r="S16" i="16"/>
  <c r="U19" i="16"/>
  <c r="R20" i="16"/>
  <c r="W17" i="17"/>
  <c r="W17" i="20"/>
  <c r="X17" i="23"/>
  <c r="X16" i="26"/>
  <c r="S16" i="28"/>
  <c r="S20" i="28"/>
  <c r="V16" i="29"/>
  <c r="U19" i="29"/>
  <c r="O20" i="29"/>
  <c r="U16" i="30"/>
  <c r="R17" i="30"/>
  <c r="U16" i="31"/>
  <c r="V18" i="8"/>
  <c r="HZ18" i="8"/>
  <c r="HW18" i="8"/>
  <c r="HY18" i="8"/>
  <c r="HX18" i="8"/>
  <c r="O18" i="8"/>
  <c r="HR18" i="8"/>
  <c r="HQ18" i="8"/>
  <c r="HP18" i="8"/>
  <c r="HO18" i="8"/>
  <c r="P17" i="8"/>
  <c r="HS17" i="8"/>
  <c r="EY17" i="8" s="1"/>
  <c r="HV17" i="8"/>
  <c r="FE17" i="8" s="1"/>
  <c r="IO17" i="8" s="1"/>
  <c r="HU17" i="8"/>
  <c r="HT17" i="8"/>
  <c r="Q17" i="8"/>
  <c r="HY17" i="8"/>
  <c r="HX17" i="8"/>
  <c r="HW17" i="8"/>
  <c r="FI17" i="8" s="1"/>
  <c r="IK17" i="8" s="1"/>
  <c r="HZ17" i="8"/>
  <c r="FO17" i="8" s="1"/>
  <c r="IP17" i="8" s="1"/>
  <c r="P18" i="8"/>
  <c r="HT18" i="8"/>
  <c r="HS18" i="8"/>
  <c r="HV18" i="8"/>
  <c r="FE18" i="8" s="1"/>
  <c r="IO18" i="8" s="1"/>
  <c r="HU18" i="8"/>
  <c r="O17" i="8"/>
  <c r="HO17" i="8"/>
  <c r="HR17" i="8"/>
  <c r="HQ17" i="8"/>
  <c r="HP17" i="8"/>
  <c r="EO17" i="8"/>
  <c r="II17" i="8" s="1"/>
  <c r="V16" i="8"/>
  <c r="HY16" i="8"/>
  <c r="HW16" i="8"/>
  <c r="FI16" i="8" s="1"/>
  <c r="HX16" i="8"/>
  <c r="HZ16" i="8"/>
  <c r="FO16" i="8" s="1"/>
  <c r="IP16" i="8" s="1"/>
  <c r="P16" i="8"/>
  <c r="HT16" i="8"/>
  <c r="HS16" i="8"/>
  <c r="EY16" i="8" s="1"/>
  <c r="IJ16" i="8" s="1"/>
  <c r="HV16" i="8"/>
  <c r="FE16" i="8" s="1"/>
  <c r="IO16" i="8" s="1"/>
  <c r="HU16" i="8"/>
  <c r="O16" i="8"/>
  <c r="HO16" i="8"/>
  <c r="EO16" i="8" s="1"/>
  <c r="II16" i="8" s="1"/>
  <c r="HQ16" i="8"/>
  <c r="HP16" i="8"/>
  <c r="HR16" i="8"/>
  <c r="EU16" i="8" s="1"/>
  <c r="IN16" i="8" s="1"/>
  <c r="E47" i="4"/>
  <c r="E56" i="4"/>
  <c r="E65" i="4"/>
  <c r="E38" i="4"/>
  <c r="E74" i="4"/>
  <c r="E29" i="4"/>
  <c r="E20" i="4"/>
  <c r="E11" i="4"/>
  <c r="X19" i="14"/>
  <c r="S19" i="14"/>
  <c r="O17" i="19"/>
  <c r="T17" i="19"/>
  <c r="R18" i="19"/>
  <c r="W18" i="19"/>
  <c r="R20" i="19"/>
  <c r="W20" i="19"/>
  <c r="O17" i="20"/>
  <c r="T17" i="20"/>
  <c r="W19" i="31"/>
  <c r="R19" i="31"/>
  <c r="GG18" i="8"/>
  <c r="T17" i="8"/>
  <c r="T18" i="8"/>
  <c r="V19" i="8"/>
  <c r="U16" i="8"/>
  <c r="U17" i="8"/>
  <c r="U18" i="8"/>
  <c r="X20" i="8"/>
  <c r="O18" i="9"/>
  <c r="R19" i="9"/>
  <c r="O20" i="9"/>
  <c r="T16" i="10"/>
  <c r="T17" i="10"/>
  <c r="GG19" i="10"/>
  <c r="FC20" i="10"/>
  <c r="FW20" i="10"/>
  <c r="Q20" i="16"/>
  <c r="V20" i="16"/>
  <c r="O17" i="17"/>
  <c r="T17" i="17"/>
  <c r="S17" i="17"/>
  <c r="X17" i="17"/>
  <c r="Q18" i="21"/>
  <c r="W19" i="21"/>
  <c r="R19" i="21"/>
  <c r="X16" i="23"/>
  <c r="S16" i="23"/>
  <c r="W18" i="23"/>
  <c r="R18" i="23"/>
  <c r="Q17" i="24"/>
  <c r="V19" i="26"/>
  <c r="Q19" i="26"/>
  <c r="GG20" i="28"/>
  <c r="Q17" i="29"/>
  <c r="GG19" i="8"/>
  <c r="P20" i="8"/>
  <c r="U16" i="9"/>
  <c r="P16" i="14"/>
  <c r="U16" i="14"/>
  <c r="S17" i="19"/>
  <c r="X17" i="19"/>
  <c r="S17" i="20"/>
  <c r="X17" i="20"/>
  <c r="T18" i="10"/>
  <c r="ES20" i="10"/>
  <c r="FM20" i="10"/>
  <c r="GG20" i="10"/>
  <c r="T19" i="14"/>
  <c r="P20" i="14"/>
  <c r="U20" i="14"/>
  <c r="X19" i="15"/>
  <c r="S19" i="15"/>
  <c r="P16" i="21"/>
  <c r="T16" i="24"/>
  <c r="O16" i="24"/>
  <c r="X16" i="24"/>
  <c r="S16" i="24"/>
  <c r="R20" i="26"/>
  <c r="W20" i="26"/>
  <c r="GG18" i="28"/>
  <c r="R18" i="29"/>
  <c r="W18" i="29"/>
  <c r="R19" i="30"/>
  <c r="W19" i="30"/>
  <c r="P17" i="31"/>
  <c r="P18" i="31"/>
  <c r="X16" i="8"/>
  <c r="X17" i="8"/>
  <c r="X18" i="8"/>
  <c r="GG20" i="8"/>
  <c r="U17" i="9"/>
  <c r="V20" i="13"/>
  <c r="Q20" i="13"/>
  <c r="X20" i="17"/>
  <c r="S20" i="17"/>
  <c r="R18" i="20"/>
  <c r="W18" i="20"/>
  <c r="X18" i="26"/>
  <c r="S18" i="26"/>
  <c r="P19" i="28"/>
  <c r="U19" i="28"/>
  <c r="GG18" i="9"/>
  <c r="X16" i="10"/>
  <c r="X17" i="10"/>
  <c r="T16" i="8"/>
  <c r="GG16" i="10"/>
  <c r="X18" i="10"/>
  <c r="O19" i="13"/>
  <c r="T19" i="13"/>
  <c r="S19" i="13"/>
  <c r="X19" i="13"/>
  <c r="T17" i="15"/>
  <c r="O17" i="15"/>
  <c r="X17" i="15"/>
  <c r="S17" i="15"/>
  <c r="P20" i="15"/>
  <c r="U20" i="15"/>
  <c r="W17" i="16"/>
  <c r="R17" i="16"/>
  <c r="Q18" i="16"/>
  <c r="V18" i="16"/>
  <c r="T20" i="17"/>
  <c r="V19" i="19"/>
  <c r="Q19" i="19"/>
  <c r="P19" i="20"/>
  <c r="U19" i="20"/>
  <c r="O19" i="25"/>
  <c r="T19" i="25"/>
  <c r="S19" i="25"/>
  <c r="X19" i="25"/>
  <c r="W20" i="25"/>
  <c r="R20" i="25"/>
  <c r="T18" i="26"/>
  <c r="O17" i="28"/>
  <c r="T17" i="28"/>
  <c r="S17" i="28"/>
  <c r="X17" i="28"/>
  <c r="R18" i="28"/>
  <c r="W18" i="28"/>
  <c r="W18" i="30"/>
  <c r="R18" i="30"/>
  <c r="U18" i="10"/>
  <c r="W19" i="10"/>
  <c r="X20" i="10"/>
  <c r="U16" i="13"/>
  <c r="U17" i="13"/>
  <c r="V18" i="13"/>
  <c r="O17" i="14"/>
  <c r="O18" i="15"/>
  <c r="V16" i="16"/>
  <c r="O18" i="16"/>
  <c r="T19" i="16"/>
  <c r="O20" i="16"/>
  <c r="W16" i="17"/>
  <c r="O18" i="17"/>
  <c r="U19" i="17"/>
  <c r="W16" i="19"/>
  <c r="O16" i="20"/>
  <c r="O20" i="20"/>
  <c r="V16" i="21"/>
  <c r="U17" i="21"/>
  <c r="P18" i="21"/>
  <c r="Q20" i="21"/>
  <c r="O17" i="23"/>
  <c r="V19" i="23"/>
  <c r="W20" i="23"/>
  <c r="O17" i="24"/>
  <c r="V18" i="24"/>
  <c r="W19" i="24"/>
  <c r="V20" i="24"/>
  <c r="U16" i="25"/>
  <c r="U17" i="25"/>
  <c r="V18" i="25"/>
  <c r="O16" i="26"/>
  <c r="O17" i="26"/>
  <c r="O16" i="28"/>
  <c r="O20" i="28"/>
  <c r="Q18" i="29"/>
  <c r="V16" i="30"/>
  <c r="U17" i="30"/>
  <c r="P19" i="30"/>
  <c r="U20" i="30"/>
  <c r="T16" i="31"/>
  <c r="X17" i="31"/>
  <c r="X18" i="31"/>
  <c r="P20" i="31"/>
  <c r="GG17" i="10"/>
  <c r="GG18" i="10"/>
  <c r="T20" i="10"/>
  <c r="U20" i="13"/>
  <c r="S17" i="14"/>
  <c r="U18" i="14"/>
  <c r="W19" i="14"/>
  <c r="U16" i="15"/>
  <c r="V17" i="15"/>
  <c r="S18" i="15"/>
  <c r="W19" i="15"/>
  <c r="V17" i="16"/>
  <c r="S18" i="16"/>
  <c r="X19" i="16"/>
  <c r="S20" i="16"/>
  <c r="V16" i="24"/>
  <c r="S17" i="24"/>
  <c r="S17" i="29"/>
  <c r="Q19" i="29"/>
  <c r="X19" i="29"/>
  <c r="T19" i="30"/>
  <c r="X16" i="31"/>
  <c r="T17" i="31"/>
  <c r="T18" i="31"/>
  <c r="V19" i="31"/>
  <c r="Q19" i="14"/>
  <c r="Q19" i="15"/>
  <c r="S16" i="29"/>
  <c r="O18" i="29"/>
  <c r="S20" i="29"/>
  <c r="O19" i="31"/>
  <c r="X20" i="31"/>
  <c r="R17" i="6"/>
  <c r="P17" i="6"/>
  <c r="Q16" i="31"/>
  <c r="W17" i="31"/>
  <c r="R17" i="31"/>
  <c r="W16" i="31"/>
  <c r="R16" i="31"/>
  <c r="Q18" i="31"/>
  <c r="U19" i="31"/>
  <c r="P19" i="31"/>
  <c r="Q20" i="31"/>
  <c r="Q17" i="31"/>
  <c r="W18" i="31"/>
  <c r="R18" i="31"/>
  <c r="W20" i="31"/>
  <c r="R20" i="31"/>
  <c r="V19" i="30"/>
  <c r="Q19" i="30"/>
  <c r="T16" i="30"/>
  <c r="O16" i="30"/>
  <c r="X16" i="30"/>
  <c r="S16" i="30"/>
  <c r="T17" i="30"/>
  <c r="O17" i="30"/>
  <c r="X17" i="30"/>
  <c r="S17" i="30"/>
  <c r="T20" i="30"/>
  <c r="Z20" i="30" s="1"/>
  <c r="GT20" i="30" s="1"/>
  <c r="O20" i="30"/>
  <c r="Y20" i="30" s="1"/>
  <c r="X20" i="30"/>
  <c r="S20" i="30"/>
  <c r="R16" i="30"/>
  <c r="T18" i="30"/>
  <c r="O18" i="30"/>
  <c r="X18" i="30"/>
  <c r="S18" i="30"/>
  <c r="P16" i="29"/>
  <c r="P17" i="29"/>
  <c r="P18" i="29"/>
  <c r="R19" i="29"/>
  <c r="P20" i="29"/>
  <c r="P16" i="28"/>
  <c r="P17" i="28"/>
  <c r="P18" i="28"/>
  <c r="R19" i="28"/>
  <c r="P20" i="28"/>
  <c r="Q16" i="28"/>
  <c r="Q17" i="28"/>
  <c r="Q18" i="28"/>
  <c r="O19" i="28"/>
  <c r="S19" i="28"/>
  <c r="Q20" i="28"/>
  <c r="R19" i="26"/>
  <c r="Q16" i="26"/>
  <c r="U16" i="26"/>
  <c r="Q17" i="26"/>
  <c r="U17" i="26"/>
  <c r="Q18" i="26"/>
  <c r="U18" i="26"/>
  <c r="O19" i="26"/>
  <c r="S19" i="26"/>
  <c r="Q20" i="26"/>
  <c r="U20" i="26"/>
  <c r="X17" i="25"/>
  <c r="S17" i="25"/>
  <c r="T18" i="25"/>
  <c r="O18" i="25"/>
  <c r="X18" i="25"/>
  <c r="S18" i="25"/>
  <c r="V19" i="25"/>
  <c r="Q19" i="25"/>
  <c r="P19" i="25"/>
  <c r="T17" i="25"/>
  <c r="O17" i="25"/>
  <c r="T20" i="25"/>
  <c r="O20" i="25"/>
  <c r="X20" i="25"/>
  <c r="S20" i="25"/>
  <c r="T16" i="25"/>
  <c r="O16" i="25"/>
  <c r="X16" i="25"/>
  <c r="S16" i="25"/>
  <c r="R18" i="25"/>
  <c r="W16" i="24"/>
  <c r="W17" i="24"/>
  <c r="O18" i="24"/>
  <c r="S18" i="24"/>
  <c r="W18" i="24"/>
  <c r="Q19" i="24"/>
  <c r="U19" i="24"/>
  <c r="O20" i="24"/>
  <c r="S20" i="24"/>
  <c r="W20" i="24"/>
  <c r="P16" i="23"/>
  <c r="P17" i="23"/>
  <c r="R19" i="23"/>
  <c r="Q16" i="23"/>
  <c r="Q17" i="23"/>
  <c r="Q18" i="23"/>
  <c r="U18" i="23"/>
  <c r="O19" i="23"/>
  <c r="S19" i="23"/>
  <c r="Q20" i="23"/>
  <c r="U20" i="23"/>
  <c r="R18" i="21"/>
  <c r="R20" i="21"/>
  <c r="O16" i="21"/>
  <c r="S16" i="21"/>
  <c r="W16" i="21"/>
  <c r="O17" i="21"/>
  <c r="S17" i="21"/>
  <c r="W17" i="21"/>
  <c r="O18" i="21"/>
  <c r="S18" i="21"/>
  <c r="Q19" i="21"/>
  <c r="U19" i="21"/>
  <c r="O20" i="21"/>
  <c r="S20" i="21"/>
  <c r="P16" i="20"/>
  <c r="P17" i="20"/>
  <c r="P18" i="20"/>
  <c r="Q16" i="20"/>
  <c r="Q17" i="20"/>
  <c r="Q18" i="20"/>
  <c r="O19" i="20"/>
  <c r="S19" i="20"/>
  <c r="W19" i="20"/>
  <c r="Q20" i="20"/>
  <c r="U20" i="20"/>
  <c r="P16" i="19"/>
  <c r="P20" i="19"/>
  <c r="Q16" i="19"/>
  <c r="Q17" i="19"/>
  <c r="U17" i="19"/>
  <c r="Q18" i="19"/>
  <c r="U18" i="19"/>
  <c r="O19" i="19"/>
  <c r="S19" i="19"/>
  <c r="W19" i="19"/>
  <c r="Q20" i="19"/>
  <c r="P16" i="17"/>
  <c r="P18" i="17"/>
  <c r="R19" i="17"/>
  <c r="Q16" i="17"/>
  <c r="Q17" i="17"/>
  <c r="U17" i="17"/>
  <c r="Q18" i="17"/>
  <c r="O19" i="17"/>
  <c r="S19" i="17"/>
  <c r="Q20" i="17"/>
  <c r="U20" i="17"/>
  <c r="U16" i="16"/>
  <c r="P16" i="16"/>
  <c r="U18" i="16"/>
  <c r="P18" i="16"/>
  <c r="U20" i="16"/>
  <c r="P20" i="16"/>
  <c r="Q19" i="16"/>
  <c r="U17" i="16"/>
  <c r="P17" i="16"/>
  <c r="W19" i="16"/>
  <c r="R19" i="16"/>
  <c r="W16" i="15"/>
  <c r="W17" i="15"/>
  <c r="W18" i="15"/>
  <c r="U19" i="15"/>
  <c r="W20" i="15"/>
  <c r="W16" i="14"/>
  <c r="W17" i="14"/>
  <c r="W18" i="14"/>
  <c r="U19" i="14"/>
  <c r="W20" i="14"/>
  <c r="T17" i="13"/>
  <c r="O17" i="13"/>
  <c r="T20" i="13"/>
  <c r="O20" i="13"/>
  <c r="V19" i="13"/>
  <c r="Q19" i="13"/>
  <c r="P19" i="13"/>
  <c r="T16" i="13"/>
  <c r="O16" i="13"/>
  <c r="X16" i="13"/>
  <c r="S16" i="13"/>
  <c r="R18" i="13"/>
  <c r="X17" i="13"/>
  <c r="S17" i="13"/>
  <c r="X20" i="13"/>
  <c r="S20" i="13"/>
  <c r="T18" i="13"/>
  <c r="O18" i="13"/>
  <c r="X18" i="13"/>
  <c r="S18" i="13"/>
  <c r="Q16" i="10"/>
  <c r="Q17" i="10"/>
  <c r="Q18" i="10"/>
  <c r="O19" i="10"/>
  <c r="S19" i="10"/>
  <c r="W16" i="10"/>
  <c r="W17" i="10"/>
  <c r="W18" i="10"/>
  <c r="U19" i="10"/>
  <c r="W20" i="10"/>
  <c r="Q20" i="10"/>
  <c r="W16" i="9"/>
  <c r="W17" i="9"/>
  <c r="W18" i="9"/>
  <c r="U19" i="9"/>
  <c r="W20" i="9"/>
  <c r="Q16" i="9"/>
  <c r="Q17" i="9"/>
  <c r="Q18" i="9"/>
  <c r="O19" i="9"/>
  <c r="S19" i="9"/>
  <c r="Q20" i="9"/>
  <c r="Q18" i="8"/>
  <c r="Q20" i="8"/>
  <c r="R17" i="8"/>
  <c r="V17" i="8"/>
  <c r="R18" i="8"/>
  <c r="P19" i="8"/>
  <c r="T19" i="8"/>
  <c r="X19" i="8"/>
  <c r="W16" i="8"/>
  <c r="W20" i="8"/>
  <c r="Q16" i="8"/>
  <c r="EU18" i="26" l="1"/>
  <c r="IN18" i="26" s="1"/>
  <c r="GG17" i="19"/>
  <c r="IM17" i="19"/>
  <c r="EO17" i="19"/>
  <c r="EO18" i="17"/>
  <c r="GG18" i="13"/>
  <c r="IM18" i="13"/>
  <c r="GG18" i="15"/>
  <c r="IM18" i="15"/>
  <c r="GG18" i="14"/>
  <c r="IM18" i="14"/>
  <c r="EO19" i="31"/>
  <c r="FY18" i="28"/>
  <c r="IQ18" i="28" s="1"/>
  <c r="FO18" i="30"/>
  <c r="IP18" i="30" s="1"/>
  <c r="FE18" i="30"/>
  <c r="IO18" i="30" s="1"/>
  <c r="EU17" i="30"/>
  <c r="IN17" i="30" s="1"/>
  <c r="EY17" i="9"/>
  <c r="IJ17" i="9" s="1"/>
  <c r="EU18" i="30"/>
  <c r="IN18" i="30" s="1"/>
  <c r="EU18" i="19"/>
  <c r="IN18" i="19" s="1"/>
  <c r="FI18" i="19"/>
  <c r="EY18" i="17"/>
  <c r="EU18" i="28"/>
  <c r="IN18" i="28" s="1"/>
  <c r="EO16" i="13"/>
  <c r="II16" i="13" s="1"/>
  <c r="FE16" i="14"/>
  <c r="IO16" i="14" s="1"/>
  <c r="FY20" i="9"/>
  <c r="IQ20" i="9" s="1"/>
  <c r="FY18" i="25"/>
  <c r="IQ18" i="25" s="1"/>
  <c r="EO18" i="24"/>
  <c r="ES18" i="24" s="1"/>
  <c r="EU19" i="23"/>
  <c r="IN19" i="23" s="1"/>
  <c r="GG19" i="20"/>
  <c r="IM19" i="20"/>
  <c r="FW19" i="20"/>
  <c r="IL19" i="20"/>
  <c r="Y19" i="20"/>
  <c r="GM19" i="20" s="1"/>
  <c r="GI18" i="20"/>
  <c r="IR18" i="20" s="1"/>
  <c r="EY17" i="16"/>
  <c r="FC17" i="16" s="1"/>
  <c r="FW20" i="15"/>
  <c r="IL20" i="15"/>
  <c r="FM20" i="15"/>
  <c r="IK20" i="15"/>
  <c r="IT20" i="15"/>
  <c r="Y20" i="15"/>
  <c r="GM20" i="15" s="1"/>
  <c r="Z20" i="15"/>
  <c r="GT20" i="15" s="1"/>
  <c r="FC20" i="15"/>
  <c r="IJ20" i="15"/>
  <c r="ES20" i="15"/>
  <c r="II20" i="15"/>
  <c r="GG16" i="13"/>
  <c r="IM16" i="13"/>
  <c r="FW16" i="13"/>
  <c r="IL16" i="13"/>
  <c r="FO19" i="29"/>
  <c r="IP19" i="29" s="1"/>
  <c r="FO16" i="29"/>
  <c r="IP16" i="29" s="1"/>
  <c r="FI17" i="28"/>
  <c r="FM17" i="28" s="1"/>
  <c r="FE19" i="30"/>
  <c r="IO19" i="30" s="1"/>
  <c r="GG16" i="30"/>
  <c r="IM16" i="30"/>
  <c r="FI16" i="30"/>
  <c r="FM16" i="30" s="1"/>
  <c r="IM20" i="9"/>
  <c r="GG20" i="9"/>
  <c r="EU19" i="9"/>
  <c r="IN19" i="9" s="1"/>
  <c r="GG17" i="9"/>
  <c r="FM20" i="28"/>
  <c r="ES20" i="28"/>
  <c r="ES20" i="9"/>
  <c r="EO19" i="26"/>
  <c r="ES19" i="26" s="1"/>
  <c r="FO19" i="24"/>
  <c r="IP19" i="24" s="1"/>
  <c r="GG18" i="23"/>
  <c r="IM18" i="23"/>
  <c r="EO18" i="23"/>
  <c r="ES18" i="23" s="1"/>
  <c r="FO16" i="23"/>
  <c r="IP16" i="23" s="1"/>
  <c r="EY16" i="23"/>
  <c r="FC16" i="23" s="1"/>
  <c r="FE18" i="20"/>
  <c r="IO18" i="20" s="1"/>
  <c r="EU16" i="20"/>
  <c r="IN16" i="20" s="1"/>
  <c r="IT16" i="20" s="1"/>
  <c r="GG16" i="17"/>
  <c r="IM16" i="17"/>
  <c r="FM20" i="16"/>
  <c r="IK20" i="16"/>
  <c r="Y20" i="16"/>
  <c r="AA20" i="16" s="1"/>
  <c r="HA20" i="16" s="1"/>
  <c r="Z20" i="16"/>
  <c r="GT20" i="16" s="1"/>
  <c r="FC20" i="16"/>
  <c r="IJ20" i="16"/>
  <c r="ES20" i="16"/>
  <c r="II20" i="16"/>
  <c r="IS20" i="16" s="1"/>
  <c r="GG19" i="16"/>
  <c r="IM19" i="16"/>
  <c r="FS19" i="16"/>
  <c r="FW19" i="16" s="1"/>
  <c r="FI18" i="14"/>
  <c r="IK18" i="14" s="1"/>
  <c r="EY18" i="29"/>
  <c r="FC18" i="29" s="1"/>
  <c r="EO18" i="29"/>
  <c r="II18" i="29" s="1"/>
  <c r="EY17" i="31"/>
  <c r="FC17" i="31" s="1"/>
  <c r="FM20" i="30"/>
  <c r="IK20" i="30"/>
  <c r="FC20" i="30"/>
  <c r="IJ20" i="30"/>
  <c r="IT20" i="30"/>
  <c r="ES20" i="30"/>
  <c r="II20" i="30"/>
  <c r="GM20" i="30"/>
  <c r="AB20" i="30"/>
  <c r="HH20" i="30" s="1"/>
  <c r="AA20" i="30"/>
  <c r="HA20" i="30" s="1"/>
  <c r="GG19" i="30"/>
  <c r="IM19" i="30"/>
  <c r="FW19" i="30"/>
  <c r="IL19" i="30"/>
  <c r="Z19" i="30"/>
  <c r="GT19" i="30" s="1"/>
  <c r="FM19" i="30"/>
  <c r="IK19" i="30"/>
  <c r="Y19" i="30"/>
  <c r="GM19" i="30" s="1"/>
  <c r="FC19" i="30"/>
  <c r="IJ19" i="30"/>
  <c r="IT19" i="30"/>
  <c r="FI18" i="30"/>
  <c r="FM18" i="30" s="1"/>
  <c r="EO18" i="30"/>
  <c r="ES18" i="30" s="1"/>
  <c r="Z20" i="9"/>
  <c r="GT20" i="9" s="1"/>
  <c r="Y20" i="9"/>
  <c r="GM20" i="9" s="1"/>
  <c r="IS20" i="9"/>
  <c r="FE19" i="9"/>
  <c r="IO19" i="9" s="1"/>
  <c r="EO19" i="9"/>
  <c r="II19" i="9" s="1"/>
  <c r="FE18" i="9"/>
  <c r="IO18" i="9" s="1"/>
  <c r="IT18" i="9" s="1"/>
  <c r="FO16" i="9"/>
  <c r="IP16" i="9" s="1"/>
  <c r="IT16" i="9" s="1"/>
  <c r="IL18" i="8"/>
  <c r="FW18" i="8"/>
  <c r="EO18" i="8"/>
  <c r="II18" i="8" s="1"/>
  <c r="FM19" i="9"/>
  <c r="FM20" i="9"/>
  <c r="FW18" i="26"/>
  <c r="IL18" i="26"/>
  <c r="GG18" i="24"/>
  <c r="IM18" i="24"/>
  <c r="FO18" i="24"/>
  <c r="IP18" i="24" s="1"/>
  <c r="EY18" i="24"/>
  <c r="FI16" i="24"/>
  <c r="FM16" i="24" s="1"/>
  <c r="FW18" i="23"/>
  <c r="IL18" i="23"/>
  <c r="EU16" i="23"/>
  <c r="IN16" i="23" s="1"/>
  <c r="FM19" i="20"/>
  <c r="IK19" i="20"/>
  <c r="FC19" i="20"/>
  <c r="IJ19" i="20"/>
  <c r="IT19" i="20"/>
  <c r="Z19" i="20"/>
  <c r="GT19" i="20" s="1"/>
  <c r="ES19" i="20"/>
  <c r="II19" i="20"/>
  <c r="GG18" i="20"/>
  <c r="IM18" i="20"/>
  <c r="EY18" i="20"/>
  <c r="FC18" i="20" s="1"/>
  <c r="EU18" i="20"/>
  <c r="IN18" i="20" s="1"/>
  <c r="FW20" i="19"/>
  <c r="IL20" i="19"/>
  <c r="FW18" i="19"/>
  <c r="IL18" i="19"/>
  <c r="FW17" i="19"/>
  <c r="IL17" i="19"/>
  <c r="GG19" i="15"/>
  <c r="IM19" i="15"/>
  <c r="FS19" i="15"/>
  <c r="IL19" i="15" s="1"/>
  <c r="EU18" i="15"/>
  <c r="IN18" i="15" s="1"/>
  <c r="IT18" i="15" s="1"/>
  <c r="FW18" i="13"/>
  <c r="IL18" i="13"/>
  <c r="GG16" i="29"/>
  <c r="IM16" i="29"/>
  <c r="FI18" i="31"/>
  <c r="FM18" i="31" s="1"/>
  <c r="FI17" i="30"/>
  <c r="FM17" i="30" s="1"/>
  <c r="FO17" i="10"/>
  <c r="IP17" i="10" s="1"/>
  <c r="GG19" i="9"/>
  <c r="IL20" i="28"/>
  <c r="FW20" i="28"/>
  <c r="EO16" i="9"/>
  <c r="II16" i="9" s="1"/>
  <c r="EO17" i="31"/>
  <c r="ES17" i="31" s="1"/>
  <c r="FE17" i="23"/>
  <c r="IO17" i="23" s="1"/>
  <c r="IT17" i="23" s="1"/>
  <c r="Y16" i="16"/>
  <c r="GM16" i="16" s="1"/>
  <c r="EO17" i="21"/>
  <c r="II17" i="21" s="1"/>
  <c r="FM20" i="23"/>
  <c r="IK20" i="23"/>
  <c r="Y20" i="23"/>
  <c r="GM20" i="23" s="1"/>
  <c r="Z20" i="23"/>
  <c r="GT20" i="23" s="1"/>
  <c r="IT20" i="23"/>
  <c r="FC20" i="23"/>
  <c r="IJ20" i="23"/>
  <c r="ES20" i="23"/>
  <c r="II20" i="23"/>
  <c r="GC19" i="23"/>
  <c r="IM19" i="23" s="1"/>
  <c r="FW18" i="30"/>
  <c r="IL18" i="30"/>
  <c r="ES19" i="30"/>
  <c r="II19" i="30"/>
  <c r="FE17" i="30"/>
  <c r="IO17" i="30" s="1"/>
  <c r="EY19" i="10"/>
  <c r="FC19" i="10" s="1"/>
  <c r="IL18" i="10"/>
  <c r="FW18" i="10"/>
  <c r="GG17" i="8"/>
  <c r="IM17" i="8"/>
  <c r="IL18" i="9"/>
  <c r="FW18" i="9"/>
  <c r="EO18" i="9"/>
  <c r="II18" i="9" s="1"/>
  <c r="GI16" i="9"/>
  <c r="IR16" i="9" s="1"/>
  <c r="Z20" i="28"/>
  <c r="GT20" i="28" s="1"/>
  <c r="IJ20" i="28"/>
  <c r="IS20" i="28" s="1"/>
  <c r="FC20" i="28"/>
  <c r="Y20" i="28"/>
  <c r="GM20" i="28" s="1"/>
  <c r="IT20" i="28"/>
  <c r="IM19" i="28"/>
  <c r="GG19" i="28"/>
  <c r="IL19" i="28"/>
  <c r="FW19" i="28"/>
  <c r="FC19" i="28"/>
  <c r="FO18" i="28"/>
  <c r="IP18" i="28" s="1"/>
  <c r="IT18" i="28" s="1"/>
  <c r="IM17" i="28"/>
  <c r="GG17" i="28"/>
  <c r="GG17" i="15"/>
  <c r="IM17" i="15"/>
  <c r="FO16" i="15"/>
  <c r="IP16" i="15" s="1"/>
  <c r="FO17" i="13"/>
  <c r="IP17" i="13" s="1"/>
  <c r="IT17" i="13" s="1"/>
  <c r="GG18" i="17"/>
  <c r="IM18" i="17"/>
  <c r="FI18" i="16"/>
  <c r="FM18" i="16" s="1"/>
  <c r="FE18" i="16"/>
  <c r="IO18" i="16" s="1"/>
  <c r="IT18" i="16" s="1"/>
  <c r="FW18" i="14"/>
  <c r="IL18" i="14"/>
  <c r="GG17" i="14"/>
  <c r="IM17" i="14"/>
  <c r="EU16" i="14"/>
  <c r="IN16" i="14" s="1"/>
  <c r="IT20" i="19"/>
  <c r="FM20" i="19"/>
  <c r="IK20" i="19"/>
  <c r="FC20" i="19"/>
  <c r="IJ20" i="19"/>
  <c r="Y20" i="19"/>
  <c r="GM20" i="19" s="1"/>
  <c r="Z20" i="19"/>
  <c r="GT20" i="19" s="1"/>
  <c r="ES20" i="19"/>
  <c r="II20" i="19"/>
  <c r="GG19" i="19"/>
  <c r="IM19" i="19"/>
  <c r="FW19" i="19"/>
  <c r="IL19" i="19"/>
  <c r="EO19" i="19"/>
  <c r="II19" i="19" s="1"/>
  <c r="FE18" i="19"/>
  <c r="IO18" i="19" s="1"/>
  <c r="FI18" i="20"/>
  <c r="IK18" i="20" s="1"/>
  <c r="EO18" i="26"/>
  <c r="ES18" i="26" s="1"/>
  <c r="GG16" i="26"/>
  <c r="IM16" i="26"/>
  <c r="GG17" i="25"/>
  <c r="IM17" i="25"/>
  <c r="FW19" i="9"/>
  <c r="IK19" i="10"/>
  <c r="FM19" i="10"/>
  <c r="II19" i="28"/>
  <c r="ES19" i="28"/>
  <c r="IT19" i="28"/>
  <c r="Y19" i="28"/>
  <c r="GM19" i="28" s="1"/>
  <c r="FW18" i="28"/>
  <c r="FI18" i="8"/>
  <c r="IK18" i="8" s="1"/>
  <c r="EO16" i="16"/>
  <c r="ES16" i="16" s="1"/>
  <c r="EO16" i="19"/>
  <c r="ES16" i="19" s="1"/>
  <c r="EO18" i="19"/>
  <c r="ES18" i="19" s="1"/>
  <c r="EY18" i="19"/>
  <c r="FC18" i="19" s="1"/>
  <c r="EO17" i="15"/>
  <c r="ES17" i="15" s="1"/>
  <c r="FI18" i="23"/>
  <c r="IK18" i="23" s="1"/>
  <c r="EO16" i="25"/>
  <c r="ES16" i="25" s="1"/>
  <c r="Y17" i="15"/>
  <c r="GM17" i="15" s="1"/>
  <c r="FM19" i="8"/>
  <c r="Z18" i="13"/>
  <c r="GT18" i="13" s="1"/>
  <c r="Z17" i="25"/>
  <c r="GT17" i="25" s="1"/>
  <c r="EU17" i="29"/>
  <c r="IN17" i="29" s="1"/>
  <c r="IT17" i="29" s="1"/>
  <c r="FI18" i="17"/>
  <c r="FM18" i="17" s="1"/>
  <c r="FE16" i="24"/>
  <c r="IO16" i="24" s="1"/>
  <c r="IT16" i="24" s="1"/>
  <c r="Y19" i="16"/>
  <c r="GM19" i="16" s="1"/>
  <c r="FW17" i="28"/>
  <c r="FC20" i="9"/>
  <c r="GG16" i="28"/>
  <c r="FW20" i="9"/>
  <c r="FM20" i="26"/>
  <c r="IK20" i="26"/>
  <c r="Y20" i="26"/>
  <c r="GM20" i="26" s="1"/>
  <c r="Z20" i="26"/>
  <c r="GT20" i="26" s="1"/>
  <c r="IT20" i="26"/>
  <c r="FC20" i="26"/>
  <c r="IJ20" i="26"/>
  <c r="ES20" i="26"/>
  <c r="II20" i="26"/>
  <c r="GG19" i="26"/>
  <c r="IM19" i="26"/>
  <c r="FW19" i="26"/>
  <c r="IL19" i="26"/>
  <c r="IT19" i="26"/>
  <c r="FM19" i="26"/>
  <c r="IK19" i="26"/>
  <c r="Z19" i="26"/>
  <c r="GT19" i="26" s="1"/>
  <c r="FC19" i="26"/>
  <c r="IJ19" i="26"/>
  <c r="Y19" i="26"/>
  <c r="GM19" i="26" s="1"/>
  <c r="FY17" i="26"/>
  <c r="IQ17" i="26" s="1"/>
  <c r="Y17" i="26"/>
  <c r="GM17" i="26" s="1"/>
  <c r="FE18" i="25"/>
  <c r="IO18" i="25" s="1"/>
  <c r="IT19" i="23"/>
  <c r="EY18" i="23"/>
  <c r="FC18" i="23" s="1"/>
  <c r="FI17" i="23"/>
  <c r="FM17" i="23" s="1"/>
  <c r="Y18" i="20"/>
  <c r="GM18" i="20" s="1"/>
  <c r="EU17" i="20"/>
  <c r="IN17" i="20" s="1"/>
  <c r="FW16" i="20"/>
  <c r="IL16" i="20"/>
  <c r="FE16" i="19"/>
  <c r="IO16" i="19" s="1"/>
  <c r="IT16" i="19" s="1"/>
  <c r="FI16" i="17"/>
  <c r="FM16" i="17" s="1"/>
  <c r="Z19" i="16"/>
  <c r="GT19" i="16" s="1"/>
  <c r="IL19" i="16"/>
  <c r="FM19" i="16"/>
  <c r="IK19" i="16"/>
  <c r="FC19" i="16"/>
  <c r="IJ19" i="16"/>
  <c r="IT19" i="16"/>
  <c r="ES19" i="16"/>
  <c r="II19" i="16"/>
  <c r="GG17" i="16"/>
  <c r="IM17" i="16"/>
  <c r="FE17" i="16"/>
  <c r="IO17" i="16" s="1"/>
  <c r="IT17" i="16" s="1"/>
  <c r="FW16" i="16"/>
  <c r="IL16" i="16"/>
  <c r="GG19" i="14"/>
  <c r="IM19" i="14"/>
  <c r="FW19" i="14"/>
  <c r="IL19" i="14"/>
  <c r="Y19" i="14"/>
  <c r="GM19" i="14" s="1"/>
  <c r="FM19" i="14"/>
  <c r="IK19" i="14"/>
  <c r="Z19" i="14"/>
  <c r="GT19" i="14" s="1"/>
  <c r="FC19" i="14"/>
  <c r="IJ19" i="14"/>
  <c r="IT19" i="14"/>
  <c r="ES19" i="14"/>
  <c r="II19" i="14"/>
  <c r="FI17" i="14"/>
  <c r="FM17" i="14" s="1"/>
  <c r="FW16" i="14"/>
  <c r="IL16" i="14"/>
  <c r="FE18" i="13"/>
  <c r="IO18" i="13" s="1"/>
  <c r="EU18" i="13"/>
  <c r="IN18" i="13" s="1"/>
  <c r="Y19" i="29"/>
  <c r="GM19" i="29" s="1"/>
  <c r="FM19" i="29"/>
  <c r="IK19" i="29"/>
  <c r="FC19" i="29"/>
  <c r="IJ19" i="29"/>
  <c r="Z19" i="29"/>
  <c r="GT19" i="29" s="1"/>
  <c r="IT19" i="29"/>
  <c r="ES19" i="29"/>
  <c r="II19" i="29"/>
  <c r="FM19" i="28"/>
  <c r="IS19" i="28"/>
  <c r="Z19" i="28"/>
  <c r="GT19" i="28" s="1"/>
  <c r="FM18" i="28"/>
  <c r="FO17" i="28"/>
  <c r="IP17" i="28" s="1"/>
  <c r="IT17" i="28" s="1"/>
  <c r="EO17" i="28"/>
  <c r="ES17" i="28" s="1"/>
  <c r="IL16" i="28"/>
  <c r="FW16" i="28"/>
  <c r="EY16" i="31"/>
  <c r="IJ16" i="31" s="1"/>
  <c r="EY18" i="8"/>
  <c r="FC18" i="8" s="1"/>
  <c r="Y19" i="9"/>
  <c r="GM19" i="9" s="1"/>
  <c r="IJ19" i="9"/>
  <c r="IS19" i="9" s="1"/>
  <c r="FC19" i="9"/>
  <c r="IJ19" i="10"/>
  <c r="Y19" i="10"/>
  <c r="GM19" i="10" s="1"/>
  <c r="ES19" i="8"/>
  <c r="Y19" i="23"/>
  <c r="GM19" i="23" s="1"/>
  <c r="FW19" i="23"/>
  <c r="IL19" i="23"/>
  <c r="FM19" i="23"/>
  <c r="IK19" i="23"/>
  <c r="FC19" i="23"/>
  <c r="IJ19" i="23"/>
  <c r="Z19" i="23"/>
  <c r="GT19" i="23" s="1"/>
  <c r="ES19" i="23"/>
  <c r="II19" i="23"/>
  <c r="IT18" i="23"/>
  <c r="GG16" i="23"/>
  <c r="IM16" i="23"/>
  <c r="FW16" i="23"/>
  <c r="IL16" i="23"/>
  <c r="FM19" i="25"/>
  <c r="IK19" i="25"/>
  <c r="Z19" i="25"/>
  <c r="GT19" i="25" s="1"/>
  <c r="FC19" i="25"/>
  <c r="IJ19" i="25"/>
  <c r="IT19" i="25"/>
  <c r="Y19" i="25"/>
  <c r="GM19" i="25" s="1"/>
  <c r="ES19" i="25"/>
  <c r="II19" i="25"/>
  <c r="IS19" i="25" s="1"/>
  <c r="FW17" i="25"/>
  <c r="IL17" i="25"/>
  <c r="GG17" i="26"/>
  <c r="IM17" i="26"/>
  <c r="FW17" i="26"/>
  <c r="IL17" i="26"/>
  <c r="FO17" i="26"/>
  <c r="IP17" i="26" s="1"/>
  <c r="EY17" i="26"/>
  <c r="FC17" i="26" s="1"/>
  <c r="IT20" i="21"/>
  <c r="Y20" i="21"/>
  <c r="GM20" i="21" s="1"/>
  <c r="EO20" i="21"/>
  <c r="ES20" i="21" s="1"/>
  <c r="FS19" i="21"/>
  <c r="FW19" i="21" s="1"/>
  <c r="IT18" i="21"/>
  <c r="FW18" i="21"/>
  <c r="IL18" i="21"/>
  <c r="Y18" i="21"/>
  <c r="GM18" i="21" s="1"/>
  <c r="FI16" i="21"/>
  <c r="IK16" i="21" s="1"/>
  <c r="FW18" i="20"/>
  <c r="IL18" i="20"/>
  <c r="Z18" i="20"/>
  <c r="GT18" i="20" s="1"/>
  <c r="Y19" i="19"/>
  <c r="GM19" i="19" s="1"/>
  <c r="FM19" i="19"/>
  <c r="IK19" i="19"/>
  <c r="Z19" i="19"/>
  <c r="GT19" i="19" s="1"/>
  <c r="FC19" i="19"/>
  <c r="IJ19" i="19"/>
  <c r="IT19" i="19"/>
  <c r="ES19" i="19"/>
  <c r="EO18" i="16"/>
  <c r="II18" i="16" s="1"/>
  <c r="EO19" i="15"/>
  <c r="ES19" i="15" s="1"/>
  <c r="EU19" i="15"/>
  <c r="IN19" i="15" s="1"/>
  <c r="IT19" i="15" s="1"/>
  <c r="FW18" i="15"/>
  <c r="IL18" i="15"/>
  <c r="GG16" i="15"/>
  <c r="IM16" i="15"/>
  <c r="FW16" i="15"/>
  <c r="IL16" i="15"/>
  <c r="EU18" i="14"/>
  <c r="IN18" i="14" s="1"/>
  <c r="IT18" i="14" s="1"/>
  <c r="GG19" i="13"/>
  <c r="IM19" i="13"/>
  <c r="FW19" i="13"/>
  <c r="IL19" i="13"/>
  <c r="Z19" i="13"/>
  <c r="GT19" i="13" s="1"/>
  <c r="FM19" i="13"/>
  <c r="IK19" i="13"/>
  <c r="Y19" i="13"/>
  <c r="GM19" i="13" s="1"/>
  <c r="IT19" i="13"/>
  <c r="FC19" i="13"/>
  <c r="IJ19" i="13"/>
  <c r="ES19" i="13"/>
  <c r="II19" i="13"/>
  <c r="FI18" i="13"/>
  <c r="FM18" i="13" s="1"/>
  <c r="GG17" i="13"/>
  <c r="IM17" i="13"/>
  <c r="FW17" i="13"/>
  <c r="IL17" i="13"/>
  <c r="FI17" i="13"/>
  <c r="FM17" i="13" s="1"/>
  <c r="FI16" i="13"/>
  <c r="IK16" i="13" s="1"/>
  <c r="GG17" i="29"/>
  <c r="IM17" i="29"/>
  <c r="EY16" i="29"/>
  <c r="IJ16" i="29" s="1"/>
  <c r="Z18" i="28"/>
  <c r="GT18" i="28" s="1"/>
  <c r="FW19" i="31"/>
  <c r="IL19" i="31"/>
  <c r="Y19" i="31"/>
  <c r="GM19" i="31" s="1"/>
  <c r="EY19" i="31"/>
  <c r="FC19" i="31" s="1"/>
  <c r="EY18" i="31"/>
  <c r="IJ18" i="31" s="1"/>
  <c r="FE18" i="31"/>
  <c r="IO18" i="31" s="1"/>
  <c r="IT18" i="31" s="1"/>
  <c r="EO18" i="31"/>
  <c r="II18" i="31" s="1"/>
  <c r="Y16" i="30"/>
  <c r="GM16" i="30" s="1"/>
  <c r="FY16" i="30"/>
  <c r="IQ16" i="30" s="1"/>
  <c r="IT16" i="30" s="1"/>
  <c r="EY16" i="30"/>
  <c r="IJ16" i="30" s="1"/>
  <c r="IL19" i="10"/>
  <c r="FW19" i="10"/>
  <c r="IT19" i="10"/>
  <c r="Z19" i="10"/>
  <c r="GT19" i="10" s="1"/>
  <c r="II19" i="10"/>
  <c r="ES19" i="10"/>
  <c r="FE18" i="10"/>
  <c r="IO18" i="10" s="1"/>
  <c r="EU18" i="10"/>
  <c r="IN18" i="10" s="1"/>
  <c r="IT20" i="9"/>
  <c r="AB20" i="9"/>
  <c r="HH20" i="9" s="1"/>
  <c r="AA20" i="9"/>
  <c r="HA20" i="9" s="1"/>
  <c r="Z19" i="9"/>
  <c r="GT19" i="9" s="1"/>
  <c r="IT19" i="9"/>
  <c r="ES19" i="9"/>
  <c r="EU17" i="9"/>
  <c r="IN17" i="9" s="1"/>
  <c r="IT17" i="9" s="1"/>
  <c r="Z19" i="8"/>
  <c r="GT19" i="8" s="1"/>
  <c r="EU19" i="8"/>
  <c r="IN19" i="8" s="1"/>
  <c r="IT19" i="8" s="1"/>
  <c r="FO18" i="8"/>
  <c r="IP18" i="8" s="1"/>
  <c r="EU18" i="8"/>
  <c r="IN18" i="8" s="1"/>
  <c r="FW16" i="8"/>
  <c r="IL16" i="8"/>
  <c r="ES16" i="10"/>
  <c r="FM18" i="10"/>
  <c r="ES18" i="10"/>
  <c r="Q26" i="6"/>
  <c r="IJ17" i="10"/>
  <c r="FC17" i="10"/>
  <c r="II16" i="28"/>
  <c r="ES16" i="28"/>
  <c r="Y16" i="20"/>
  <c r="GM16" i="20" s="1"/>
  <c r="Z18" i="26"/>
  <c r="GT18" i="26" s="1"/>
  <c r="Y17" i="29"/>
  <c r="GM17" i="29" s="1"/>
  <c r="Z17" i="19"/>
  <c r="GT17" i="19" s="1"/>
  <c r="Y16" i="31"/>
  <c r="GM16" i="31" s="1"/>
  <c r="Z18" i="21"/>
  <c r="GT18" i="21" s="1"/>
  <c r="Z16" i="23"/>
  <c r="GT16" i="23" s="1"/>
  <c r="Y20" i="24"/>
  <c r="GM20" i="24" s="1"/>
  <c r="Z16" i="25"/>
  <c r="GT16" i="25" s="1"/>
  <c r="Y18" i="15"/>
  <c r="GM18" i="15" s="1"/>
  <c r="Z17" i="15"/>
  <c r="GT17" i="15" s="1"/>
  <c r="FO18" i="9"/>
  <c r="IP18" i="9" s="1"/>
  <c r="Z16" i="16"/>
  <c r="GT16" i="16" s="1"/>
  <c r="Y16" i="23"/>
  <c r="GM16" i="23" s="1"/>
  <c r="Y19" i="17"/>
  <c r="GM19" i="17" s="1"/>
  <c r="Y17" i="13"/>
  <c r="GM17" i="13" s="1"/>
  <c r="Z18" i="25"/>
  <c r="GT18" i="25" s="1"/>
  <c r="Y18" i="30"/>
  <c r="GM18" i="30" s="1"/>
  <c r="Y17" i="14"/>
  <c r="GM17" i="14" s="1"/>
  <c r="FW17" i="10"/>
  <c r="Y16" i="24"/>
  <c r="GM16" i="24" s="1"/>
  <c r="Y16" i="15"/>
  <c r="GM16" i="15" s="1"/>
  <c r="Z16" i="28"/>
  <c r="GT16" i="28" s="1"/>
  <c r="Z16" i="20"/>
  <c r="GT16" i="20" s="1"/>
  <c r="Z17" i="28"/>
  <c r="GT17" i="28" s="1"/>
  <c r="GG16" i="25"/>
  <c r="IM16" i="25"/>
  <c r="Y16" i="25"/>
  <c r="GM16" i="25" s="1"/>
  <c r="FW16" i="25"/>
  <c r="IL16" i="25"/>
  <c r="FM16" i="25"/>
  <c r="IK16" i="25"/>
  <c r="FC16" i="25"/>
  <c r="IJ16" i="25"/>
  <c r="IT16" i="25"/>
  <c r="II16" i="25"/>
  <c r="Y18" i="25"/>
  <c r="GM18" i="25" s="1"/>
  <c r="FW18" i="25"/>
  <c r="IL18" i="25"/>
  <c r="FM18" i="25"/>
  <c r="IK18" i="25"/>
  <c r="IT18" i="25"/>
  <c r="FC18" i="25"/>
  <c r="IJ18" i="25"/>
  <c r="ES18" i="25"/>
  <c r="II18" i="25"/>
  <c r="FM17" i="25"/>
  <c r="IK17" i="25"/>
  <c r="IT17" i="25"/>
  <c r="FC17" i="25"/>
  <c r="IJ17" i="25"/>
  <c r="Y17" i="25"/>
  <c r="ES17" i="25"/>
  <c r="II17" i="25"/>
  <c r="Y18" i="23"/>
  <c r="GM18" i="23" s="1"/>
  <c r="Z18" i="23"/>
  <c r="GT18" i="23" s="1"/>
  <c r="IJ18" i="23"/>
  <c r="II18" i="23"/>
  <c r="Z17" i="23"/>
  <c r="GT17" i="23" s="1"/>
  <c r="FW17" i="23"/>
  <c r="IL17" i="23"/>
  <c r="Y17" i="23"/>
  <c r="FC17" i="23"/>
  <c r="IJ17" i="23"/>
  <c r="ES17" i="23"/>
  <c r="II17" i="23"/>
  <c r="FW20" i="24"/>
  <c r="IL20" i="24"/>
  <c r="IT20" i="24"/>
  <c r="FM20" i="24"/>
  <c r="IK20" i="24"/>
  <c r="Z20" i="24"/>
  <c r="GT20" i="24" s="1"/>
  <c r="FC20" i="24"/>
  <c r="IJ20" i="24"/>
  <c r="ES20" i="24"/>
  <c r="II20" i="24"/>
  <c r="GG19" i="24"/>
  <c r="IM19" i="24"/>
  <c r="FW19" i="24"/>
  <c r="IL19" i="24"/>
  <c r="IT19" i="24"/>
  <c r="Y19" i="24"/>
  <c r="FM19" i="24"/>
  <c r="IK19" i="24"/>
  <c r="Z19" i="24"/>
  <c r="GT19" i="24" s="1"/>
  <c r="FC19" i="24"/>
  <c r="IJ19" i="24"/>
  <c r="ES19" i="24"/>
  <c r="II19" i="24"/>
  <c r="FI18" i="24"/>
  <c r="IK18" i="24" s="1"/>
  <c r="GG17" i="24"/>
  <c r="IM17" i="24"/>
  <c r="FW17" i="24"/>
  <c r="IL17" i="24"/>
  <c r="Y17" i="24"/>
  <c r="GM17" i="24" s="1"/>
  <c r="FM17" i="24"/>
  <c r="IK17" i="24"/>
  <c r="IT17" i="24"/>
  <c r="FC17" i="24"/>
  <c r="IJ17" i="24"/>
  <c r="Z17" i="24"/>
  <c r="GT17" i="24" s="1"/>
  <c r="ES17" i="24"/>
  <c r="II17" i="24"/>
  <c r="GG16" i="24"/>
  <c r="IM16" i="24"/>
  <c r="FW16" i="24"/>
  <c r="IL16" i="24"/>
  <c r="Z16" i="24"/>
  <c r="GT16" i="24" s="1"/>
  <c r="IK16" i="24"/>
  <c r="FC16" i="24"/>
  <c r="IJ16" i="24"/>
  <c r="ES16" i="24"/>
  <c r="II16" i="24"/>
  <c r="FM16" i="23"/>
  <c r="IK16" i="23"/>
  <c r="IJ16" i="23"/>
  <c r="IT16" i="23"/>
  <c r="ES16" i="23"/>
  <c r="II16" i="23"/>
  <c r="GG19" i="21"/>
  <c r="IM19" i="21"/>
  <c r="Y18" i="24"/>
  <c r="GM18" i="24" s="1"/>
  <c r="FW18" i="24"/>
  <c r="IL18" i="24"/>
  <c r="FC18" i="24"/>
  <c r="IJ18" i="24"/>
  <c r="Z18" i="24"/>
  <c r="GT18" i="24" s="1"/>
  <c r="IT18" i="24"/>
  <c r="II18" i="24"/>
  <c r="Y19" i="21"/>
  <c r="GM19" i="21" s="1"/>
  <c r="Z19" i="21"/>
  <c r="GT19" i="21" s="1"/>
  <c r="IL19" i="21"/>
  <c r="FM18" i="26"/>
  <c r="IK18" i="26"/>
  <c r="Y18" i="26"/>
  <c r="FC18" i="26"/>
  <c r="IJ18" i="26"/>
  <c r="IT18" i="26"/>
  <c r="FM17" i="26"/>
  <c r="IK17" i="26"/>
  <c r="Z17" i="26"/>
  <c r="GT17" i="26" s="1"/>
  <c r="ES17" i="26"/>
  <c r="II17" i="26"/>
  <c r="FW16" i="26"/>
  <c r="IL16" i="26"/>
  <c r="Y16" i="26"/>
  <c r="GM16" i="26" s="1"/>
  <c r="FM16" i="26"/>
  <c r="IK16" i="26"/>
  <c r="Z16" i="26"/>
  <c r="GT16" i="26" s="1"/>
  <c r="IT16" i="26"/>
  <c r="FC16" i="26"/>
  <c r="IJ16" i="26"/>
  <c r="ES16" i="26"/>
  <c r="II16" i="26"/>
  <c r="FM20" i="21"/>
  <c r="IK20" i="21"/>
  <c r="Z20" i="21"/>
  <c r="GT20" i="21" s="1"/>
  <c r="FC20" i="21"/>
  <c r="IJ20" i="21"/>
  <c r="II20" i="21"/>
  <c r="AB20" i="21"/>
  <c r="HH20" i="21" s="1"/>
  <c r="AA20" i="21"/>
  <c r="HA20" i="21" s="1"/>
  <c r="FM19" i="21"/>
  <c r="IK19" i="21"/>
  <c r="IT19" i="21"/>
  <c r="FC19" i="21"/>
  <c r="IJ19" i="21"/>
  <c r="ES19" i="21"/>
  <c r="II19" i="21"/>
  <c r="FM18" i="21"/>
  <c r="IK18" i="21"/>
  <c r="FC18" i="21"/>
  <c r="IJ18" i="21"/>
  <c r="ES18" i="21"/>
  <c r="II18" i="21"/>
  <c r="GG17" i="21"/>
  <c r="IM17" i="21"/>
  <c r="IT17" i="21"/>
  <c r="FW17" i="21"/>
  <c r="IL17" i="21"/>
  <c r="FM17" i="21"/>
  <c r="IK17" i="21"/>
  <c r="Y17" i="21"/>
  <c r="Z17" i="21"/>
  <c r="GT17" i="21" s="1"/>
  <c r="FC17" i="21"/>
  <c r="IJ17" i="21"/>
  <c r="GG16" i="21"/>
  <c r="IM16" i="21"/>
  <c r="FW16" i="21"/>
  <c r="IL16" i="21"/>
  <c r="Z16" i="21"/>
  <c r="GT16" i="21" s="1"/>
  <c r="IT16" i="21"/>
  <c r="FC16" i="21"/>
  <c r="IJ16" i="21"/>
  <c r="Y16" i="21"/>
  <c r="GM16" i="21" s="1"/>
  <c r="ES16" i="21"/>
  <c r="II16" i="21"/>
  <c r="FW19" i="17"/>
  <c r="IL19" i="17"/>
  <c r="FM19" i="17"/>
  <c r="IK19" i="17"/>
  <c r="FC19" i="17"/>
  <c r="IJ19" i="17"/>
  <c r="IT19" i="17"/>
  <c r="Z19" i="17"/>
  <c r="GT19" i="17" s="1"/>
  <c r="ES19" i="17"/>
  <c r="II19" i="17"/>
  <c r="IT16" i="17"/>
  <c r="FW16" i="17"/>
  <c r="IL16" i="17"/>
  <c r="Z16" i="17"/>
  <c r="GT16" i="17" s="1"/>
  <c r="IK16" i="17"/>
  <c r="Y16" i="17"/>
  <c r="GM16" i="17" s="1"/>
  <c r="FC16" i="17"/>
  <c r="IJ16" i="17"/>
  <c r="ES16" i="17"/>
  <c r="II16" i="17"/>
  <c r="FW17" i="15"/>
  <c r="IL17" i="15"/>
  <c r="FM17" i="15"/>
  <c r="IK17" i="15"/>
  <c r="FC17" i="15"/>
  <c r="IJ17" i="15"/>
  <c r="IT17" i="15"/>
  <c r="II17" i="15"/>
  <c r="FW18" i="17"/>
  <c r="IL18" i="17"/>
  <c r="IK18" i="17"/>
  <c r="Y18" i="17"/>
  <c r="GM18" i="17" s="1"/>
  <c r="Z18" i="17"/>
  <c r="GT18" i="17" s="1"/>
  <c r="IT18" i="17"/>
  <c r="FC18" i="17"/>
  <c r="IJ18" i="17"/>
  <c r="ES18" i="17"/>
  <c r="II18" i="17"/>
  <c r="FW19" i="15"/>
  <c r="Y19" i="15"/>
  <c r="GM19" i="15" s="1"/>
  <c r="FM19" i="15"/>
  <c r="IK19" i="15"/>
  <c r="Z19" i="15"/>
  <c r="GT19" i="15" s="1"/>
  <c r="FC19" i="15"/>
  <c r="IJ19" i="15"/>
  <c r="II19" i="15"/>
  <c r="ES18" i="20"/>
  <c r="II18" i="20"/>
  <c r="Y18" i="19"/>
  <c r="GM18" i="19" s="1"/>
  <c r="FM18" i="19"/>
  <c r="IK18" i="19"/>
  <c r="IT18" i="19"/>
  <c r="Z18" i="19"/>
  <c r="GT18" i="19" s="1"/>
  <c r="FM16" i="20"/>
  <c r="IK16" i="20"/>
  <c r="FC16" i="20"/>
  <c r="IJ16" i="20"/>
  <c r="ES16" i="20"/>
  <c r="II16" i="20"/>
  <c r="FM17" i="20"/>
  <c r="IK17" i="20"/>
  <c r="Z17" i="20"/>
  <c r="GT17" i="20" s="1"/>
  <c r="Y17" i="20"/>
  <c r="IT17" i="20"/>
  <c r="FC17" i="20"/>
  <c r="IJ17" i="20"/>
  <c r="ES17" i="20"/>
  <c r="II17" i="20"/>
  <c r="GG16" i="19"/>
  <c r="IM16" i="19"/>
  <c r="Z16" i="19"/>
  <c r="GT16" i="19" s="1"/>
  <c r="FW16" i="19"/>
  <c r="IL16" i="19"/>
  <c r="FM16" i="19"/>
  <c r="IK16" i="19"/>
  <c r="Y16" i="19"/>
  <c r="FC16" i="19"/>
  <c r="IJ16" i="19"/>
  <c r="FM17" i="19"/>
  <c r="IK17" i="19"/>
  <c r="IT17" i="19"/>
  <c r="FC17" i="19"/>
  <c r="IJ17" i="19"/>
  <c r="Y17" i="19"/>
  <c r="GM17" i="19" s="1"/>
  <c r="ES17" i="19"/>
  <c r="II17" i="19"/>
  <c r="FW17" i="17"/>
  <c r="IL17" i="17"/>
  <c r="Y17" i="17"/>
  <c r="GM17" i="17" s="1"/>
  <c r="FM17" i="17"/>
  <c r="IK17" i="17"/>
  <c r="Z17" i="17"/>
  <c r="GT17" i="17" s="1"/>
  <c r="FC17" i="17"/>
  <c r="IJ17" i="17"/>
  <c r="IT17" i="17"/>
  <c r="ES17" i="17"/>
  <c r="II17" i="17"/>
  <c r="GG18" i="16"/>
  <c r="IM18" i="16"/>
  <c r="FW18" i="16"/>
  <c r="IL18" i="16"/>
  <c r="Z18" i="16"/>
  <c r="GT18" i="16" s="1"/>
  <c r="Y18" i="16"/>
  <c r="FC18" i="16"/>
  <c r="IJ18" i="16"/>
  <c r="Z18" i="15"/>
  <c r="GT18" i="15" s="1"/>
  <c r="FM18" i="15"/>
  <c r="IK18" i="15"/>
  <c r="FC18" i="15"/>
  <c r="IJ18" i="15"/>
  <c r="ES18" i="15"/>
  <c r="II18" i="15"/>
  <c r="GG20" i="31"/>
  <c r="IM20" i="31"/>
  <c r="Z20" i="31"/>
  <c r="GT20" i="31" s="1"/>
  <c r="FW20" i="31"/>
  <c r="IL20" i="31"/>
  <c r="FM20" i="31"/>
  <c r="IK20" i="31"/>
  <c r="FC20" i="31"/>
  <c r="IJ20" i="31"/>
  <c r="IT20" i="31"/>
  <c r="Y20" i="31"/>
  <c r="AB20" i="31" s="1"/>
  <c r="HH20" i="31" s="1"/>
  <c r="ES20" i="31"/>
  <c r="II20" i="31"/>
  <c r="Z16" i="31"/>
  <c r="GT16" i="31" s="1"/>
  <c r="FW16" i="31"/>
  <c r="IL16" i="31"/>
  <c r="FM16" i="15"/>
  <c r="IK16" i="15"/>
  <c r="IT16" i="15"/>
  <c r="FC16" i="15"/>
  <c r="IJ16" i="15"/>
  <c r="Z16" i="15"/>
  <c r="GT16" i="15" s="1"/>
  <c r="ES16" i="15"/>
  <c r="II16" i="15"/>
  <c r="FM18" i="14"/>
  <c r="Y18" i="14"/>
  <c r="GM18" i="14" s="1"/>
  <c r="FC18" i="14"/>
  <c r="IJ18" i="14"/>
  <c r="Z18" i="14"/>
  <c r="GT18" i="14" s="1"/>
  <c r="ES18" i="14"/>
  <c r="II18" i="14"/>
  <c r="FM16" i="14"/>
  <c r="IK16" i="14"/>
  <c r="IT16" i="14"/>
  <c r="Y16" i="14"/>
  <c r="GM16" i="14" s="1"/>
  <c r="FC16" i="14"/>
  <c r="IJ16" i="14"/>
  <c r="Z16" i="14"/>
  <c r="GT16" i="14" s="1"/>
  <c r="ES16" i="14"/>
  <c r="II16" i="14"/>
  <c r="FW17" i="16"/>
  <c r="IL17" i="16"/>
  <c r="FM17" i="16"/>
  <c r="IK17" i="16"/>
  <c r="Y17" i="16"/>
  <c r="Z17" i="16"/>
  <c r="GT17" i="16" s="1"/>
  <c r="ES17" i="16"/>
  <c r="II17" i="16"/>
  <c r="FC18" i="13"/>
  <c r="IJ18" i="13"/>
  <c r="IT18" i="13"/>
  <c r="Y18" i="13"/>
  <c r="ES18" i="13"/>
  <c r="II18" i="13"/>
  <c r="Z17" i="13"/>
  <c r="GT17" i="13" s="1"/>
  <c r="FC17" i="13"/>
  <c r="IJ17" i="13"/>
  <c r="ES17" i="13"/>
  <c r="II17" i="13"/>
  <c r="FM16" i="16"/>
  <c r="IK16" i="16"/>
  <c r="FC16" i="16"/>
  <c r="IJ16" i="16"/>
  <c r="IT16" i="16"/>
  <c r="FW17" i="14"/>
  <c r="IL17" i="14"/>
  <c r="IT17" i="14"/>
  <c r="Z17" i="14"/>
  <c r="GT17" i="14" s="1"/>
  <c r="FC17" i="14"/>
  <c r="IJ17" i="14"/>
  <c r="ES17" i="14"/>
  <c r="II17" i="14"/>
  <c r="GG18" i="31"/>
  <c r="IM18" i="31"/>
  <c r="FW18" i="31"/>
  <c r="IL18" i="31"/>
  <c r="IK18" i="31"/>
  <c r="Z18" i="31"/>
  <c r="GT18" i="31" s="1"/>
  <c r="Y18" i="31"/>
  <c r="GM18" i="31" s="1"/>
  <c r="FW17" i="31"/>
  <c r="IL17" i="31"/>
  <c r="IJ19" i="31"/>
  <c r="ES19" i="31"/>
  <c r="II19" i="31"/>
  <c r="IT19" i="31"/>
  <c r="FM19" i="31"/>
  <c r="IK19" i="31"/>
  <c r="Z19" i="31"/>
  <c r="GT19" i="31" s="1"/>
  <c r="FM17" i="31"/>
  <c r="IK17" i="31"/>
  <c r="Z17" i="31"/>
  <c r="GT17" i="31" s="1"/>
  <c r="IJ17" i="31"/>
  <c r="IT17" i="31"/>
  <c r="Y17" i="31"/>
  <c r="II17" i="31"/>
  <c r="IT16" i="31"/>
  <c r="FM16" i="31"/>
  <c r="IK16" i="31"/>
  <c r="ES16" i="31"/>
  <c r="II16" i="31"/>
  <c r="Y16" i="13"/>
  <c r="Z16" i="13"/>
  <c r="GT16" i="13" s="1"/>
  <c r="FC16" i="13"/>
  <c r="IJ16" i="13"/>
  <c r="IT16" i="13"/>
  <c r="GG18" i="29"/>
  <c r="IM18" i="29"/>
  <c r="FW18" i="29"/>
  <c r="IL18" i="29"/>
  <c r="FM18" i="29"/>
  <c r="IK18" i="29"/>
  <c r="Z18" i="29"/>
  <c r="GT18" i="29" s="1"/>
  <c r="IT18" i="29"/>
  <c r="Y18" i="29"/>
  <c r="GM18" i="29" s="1"/>
  <c r="Y18" i="28"/>
  <c r="GM18" i="28" s="1"/>
  <c r="FC18" i="28"/>
  <c r="IJ18" i="28"/>
  <c r="IS18" i="28" s="1"/>
  <c r="ES18" i="28"/>
  <c r="IK18" i="30"/>
  <c r="Z18" i="30"/>
  <c r="GT18" i="30" s="1"/>
  <c r="IT18" i="30"/>
  <c r="FC18" i="30"/>
  <c r="IJ18" i="30"/>
  <c r="II18" i="30"/>
  <c r="FW16" i="30"/>
  <c r="IL16" i="30"/>
  <c r="IK16" i="30"/>
  <c r="Z16" i="30"/>
  <c r="GT16" i="30" s="1"/>
  <c r="ES16" i="30"/>
  <c r="II16" i="30"/>
  <c r="IL16" i="29"/>
  <c r="FW16" i="29"/>
  <c r="Y16" i="29"/>
  <c r="GM16" i="29" s="1"/>
  <c r="FM16" i="29"/>
  <c r="IK16" i="29"/>
  <c r="IT16" i="29"/>
  <c r="Z16" i="29"/>
  <c r="GT16" i="29" s="1"/>
  <c r="ES16" i="29"/>
  <c r="II16" i="29"/>
  <c r="IK16" i="28"/>
  <c r="FM16" i="28"/>
  <c r="FC16" i="28"/>
  <c r="IJ16" i="28"/>
  <c r="Y16" i="28"/>
  <c r="IT16" i="28"/>
  <c r="FW17" i="30"/>
  <c r="IL17" i="30"/>
  <c r="Y17" i="30"/>
  <c r="GM17" i="30" s="1"/>
  <c r="FC17" i="30"/>
  <c r="IJ17" i="30"/>
  <c r="IT17" i="30"/>
  <c r="Z17" i="30"/>
  <c r="GT17" i="30" s="1"/>
  <c r="ES17" i="30"/>
  <c r="II17" i="30"/>
  <c r="IJ17" i="28"/>
  <c r="FC17" i="28"/>
  <c r="Y17" i="28"/>
  <c r="FW17" i="29"/>
  <c r="IL17" i="29"/>
  <c r="FM17" i="29"/>
  <c r="IK17" i="29"/>
  <c r="Z17" i="29"/>
  <c r="FC17" i="29"/>
  <c r="IJ17" i="29"/>
  <c r="ES17" i="29"/>
  <c r="II17" i="29"/>
  <c r="IL20" i="8"/>
  <c r="FW20" i="8"/>
  <c r="Z20" i="8"/>
  <c r="GT20" i="8" s="1"/>
  <c r="FM20" i="8"/>
  <c r="Y20" i="8"/>
  <c r="GM20" i="8" s="1"/>
  <c r="IJ20" i="8"/>
  <c r="FC20" i="8"/>
  <c r="IS20" i="8"/>
  <c r="IT20" i="8"/>
  <c r="ES20" i="8"/>
  <c r="IL19" i="8"/>
  <c r="IS19" i="8" s="1"/>
  <c r="FW19" i="8"/>
  <c r="FC19" i="8"/>
  <c r="Y19" i="8"/>
  <c r="Z18" i="9"/>
  <c r="GT18" i="9" s="1"/>
  <c r="IS18" i="10"/>
  <c r="Y18" i="10"/>
  <c r="GM18" i="10" s="1"/>
  <c r="IL17" i="9"/>
  <c r="FW17" i="9"/>
  <c r="IM16" i="9"/>
  <c r="GG16" i="9"/>
  <c r="IK17" i="10"/>
  <c r="FM17" i="10"/>
  <c r="Z18" i="10"/>
  <c r="GT18" i="10" s="1"/>
  <c r="FC16" i="10"/>
  <c r="Z17" i="10"/>
  <c r="GT17" i="10" s="1"/>
  <c r="Y16" i="10"/>
  <c r="Y17" i="10"/>
  <c r="Z16" i="10"/>
  <c r="GT16" i="10" s="1"/>
  <c r="IT17" i="10"/>
  <c r="FC18" i="10"/>
  <c r="ES17" i="10"/>
  <c r="IJ18" i="8"/>
  <c r="Z18" i="8"/>
  <c r="GT18" i="8" s="1"/>
  <c r="Y17" i="8"/>
  <c r="GM17" i="8" s="1"/>
  <c r="FW17" i="8"/>
  <c r="IL17" i="8"/>
  <c r="FM17" i="8"/>
  <c r="EU17" i="8"/>
  <c r="IN17" i="8" s="1"/>
  <c r="IT17" i="8" s="1"/>
  <c r="IK16" i="8"/>
  <c r="FM16" i="8"/>
  <c r="FM18" i="9"/>
  <c r="IJ18" i="9"/>
  <c r="IS18" i="9" s="1"/>
  <c r="FC18" i="9"/>
  <c r="Y18" i="9"/>
  <c r="GM18" i="9" s="1"/>
  <c r="IL16" i="9"/>
  <c r="FW16" i="9"/>
  <c r="IK16" i="9"/>
  <c r="FM16" i="9"/>
  <c r="IJ16" i="9"/>
  <c r="FC16" i="9"/>
  <c r="Y16" i="9"/>
  <c r="GM16" i="9" s="1"/>
  <c r="Z16" i="9"/>
  <c r="GT16" i="9" s="1"/>
  <c r="IK17" i="9"/>
  <c r="FM17" i="9"/>
  <c r="Y17" i="9"/>
  <c r="GM17" i="9" s="1"/>
  <c r="Z17" i="9"/>
  <c r="GT17" i="9" s="1"/>
  <c r="FC17" i="9"/>
  <c r="II17" i="9"/>
  <c r="ES17" i="9"/>
  <c r="FW16" i="10"/>
  <c r="IS16" i="10"/>
  <c r="FM16" i="10"/>
  <c r="IT16" i="10"/>
  <c r="ES17" i="8"/>
  <c r="ES16" i="8"/>
  <c r="FC16" i="8"/>
  <c r="Y18" i="8"/>
  <c r="GM18" i="8" s="1"/>
  <c r="IJ17" i="8"/>
  <c r="FC17" i="8"/>
  <c r="Z17" i="8"/>
  <c r="GT17" i="8" s="1"/>
  <c r="IT16" i="8"/>
  <c r="Z16" i="8"/>
  <c r="GT16" i="8" s="1"/>
  <c r="Y16" i="8"/>
  <c r="GM16" i="8" s="1"/>
  <c r="E39" i="4"/>
  <c r="E21" i="4"/>
  <c r="E75" i="4"/>
  <c r="E12" i="4"/>
  <c r="E30" i="4"/>
  <c r="E57" i="4"/>
  <c r="E66" i="4"/>
  <c r="E48" i="4"/>
  <c r="R18" i="6"/>
  <c r="R19" i="6" s="1"/>
  <c r="P18" i="6"/>
  <c r="P19" i="6" s="1"/>
  <c r="II19" i="26" l="1"/>
  <c r="II18" i="26"/>
  <c r="AB18" i="26"/>
  <c r="HH18" i="26" s="1"/>
  <c r="IJ18" i="19"/>
  <c r="IT18" i="20"/>
  <c r="AA19" i="20"/>
  <c r="HA19" i="20" s="1"/>
  <c r="AB19" i="20"/>
  <c r="HH19" i="20" s="1"/>
  <c r="ES16" i="13"/>
  <c r="IK18" i="16"/>
  <c r="II16" i="16"/>
  <c r="GM20" i="16"/>
  <c r="IJ17" i="16"/>
  <c r="ES18" i="29"/>
  <c r="IK17" i="28"/>
  <c r="AA19" i="8"/>
  <c r="HA19" i="8" s="1"/>
  <c r="FC18" i="31"/>
  <c r="IS19" i="29"/>
  <c r="AA19" i="25"/>
  <c r="HA19" i="25" s="1"/>
  <c r="IS19" i="20"/>
  <c r="IJ18" i="20"/>
  <c r="IS18" i="20" s="1"/>
  <c r="AB20" i="15"/>
  <c r="HH20" i="15" s="1"/>
  <c r="AA20" i="15"/>
  <c r="HA20" i="15" s="1"/>
  <c r="IS20" i="15"/>
  <c r="IJ18" i="29"/>
  <c r="IS18" i="29" s="1"/>
  <c r="AA19" i="30"/>
  <c r="HA19" i="30" s="1"/>
  <c r="IS19" i="30"/>
  <c r="IK17" i="30"/>
  <c r="IS17" i="10"/>
  <c r="FC16" i="29"/>
  <c r="ES17" i="21"/>
  <c r="ES18" i="8"/>
  <c r="ES16" i="9"/>
  <c r="FM18" i="20"/>
  <c r="AA17" i="25"/>
  <c r="HA17" i="25" s="1"/>
  <c r="II18" i="19"/>
  <c r="IS18" i="19" s="1"/>
  <c r="AB20" i="16"/>
  <c r="HH20" i="16" s="1"/>
  <c r="AA19" i="16"/>
  <c r="HA19" i="16" s="1"/>
  <c r="AB19" i="16"/>
  <c r="HH19" i="16" s="1"/>
  <c r="IK17" i="14"/>
  <c r="IS20" i="30"/>
  <c r="AB19" i="30"/>
  <c r="HH19" i="30" s="1"/>
  <c r="FM18" i="8"/>
  <c r="IS18" i="8"/>
  <c r="ES18" i="16"/>
  <c r="ES18" i="9"/>
  <c r="GG19" i="23"/>
  <c r="IJ17" i="26"/>
  <c r="IS17" i="26" s="1"/>
  <c r="FM18" i="23"/>
  <c r="AB18" i="20"/>
  <c r="HH18" i="20" s="1"/>
  <c r="GT21" i="20"/>
  <c r="II16" i="19"/>
  <c r="IK17" i="13"/>
  <c r="FC16" i="31"/>
  <c r="IT18" i="10"/>
  <c r="IT21" i="10" s="1"/>
  <c r="IT18" i="8"/>
  <c r="IT21" i="8" s="1"/>
  <c r="ES18" i="31"/>
  <c r="II17" i="28"/>
  <c r="IS17" i="28" s="1"/>
  <c r="AB20" i="28"/>
  <c r="HH20" i="28" s="1"/>
  <c r="IS20" i="19"/>
  <c r="AA20" i="19"/>
  <c r="HA20" i="19" s="1"/>
  <c r="AA16" i="19"/>
  <c r="HA16" i="19" s="1"/>
  <c r="AA20" i="23"/>
  <c r="HA20" i="23" s="1"/>
  <c r="IS20" i="23"/>
  <c r="AB20" i="23"/>
  <c r="HH20" i="23" s="1"/>
  <c r="IS17" i="8"/>
  <c r="AA20" i="28"/>
  <c r="HA20" i="28" s="1"/>
  <c r="AA18" i="16"/>
  <c r="HA18" i="16" s="1"/>
  <c r="AB20" i="19"/>
  <c r="HH20" i="19" s="1"/>
  <c r="AB16" i="24"/>
  <c r="HH16" i="24" s="1"/>
  <c r="IS19" i="26"/>
  <c r="AA18" i="25"/>
  <c r="HA18" i="25" s="1"/>
  <c r="AB16" i="25"/>
  <c r="HH16" i="25" s="1"/>
  <c r="FC16" i="30"/>
  <c r="FM16" i="21"/>
  <c r="IK17" i="23"/>
  <c r="IS17" i="23" s="1"/>
  <c r="AA19" i="28"/>
  <c r="HA19" i="28" s="1"/>
  <c r="IS20" i="26"/>
  <c r="AA18" i="13"/>
  <c r="HA18" i="13" s="1"/>
  <c r="IK18" i="13"/>
  <c r="IS18" i="13" s="1"/>
  <c r="IS16" i="20"/>
  <c r="AB17" i="28"/>
  <c r="HH17" i="28" s="1"/>
  <c r="AA19" i="29"/>
  <c r="HA19" i="29" s="1"/>
  <c r="AB19" i="10"/>
  <c r="HH19" i="10" s="1"/>
  <c r="AB20" i="26"/>
  <c r="HH20" i="26" s="1"/>
  <c r="GM18" i="26"/>
  <c r="GM21" i="26" s="1"/>
  <c r="AA20" i="26"/>
  <c r="HA20" i="26" s="1"/>
  <c r="AB19" i="26"/>
  <c r="HH19" i="26" s="1"/>
  <c r="AA19" i="26"/>
  <c r="HA19" i="26" s="1"/>
  <c r="IT17" i="26"/>
  <c r="IT21" i="26" s="1"/>
  <c r="AB18" i="25"/>
  <c r="HH18" i="25" s="1"/>
  <c r="AA19" i="23"/>
  <c r="HA19" i="23" s="1"/>
  <c r="AA17" i="21"/>
  <c r="HA17" i="21" s="1"/>
  <c r="AA18" i="20"/>
  <c r="HA18" i="20" s="1"/>
  <c r="AA16" i="20"/>
  <c r="HA16" i="20" s="1"/>
  <c r="AA19" i="19"/>
  <c r="HA19" i="19" s="1"/>
  <c r="IS19" i="16"/>
  <c r="GT21" i="16"/>
  <c r="AB16" i="16"/>
  <c r="HH16" i="16" s="1"/>
  <c r="AA19" i="14"/>
  <c r="HA19" i="14" s="1"/>
  <c r="AB19" i="14"/>
  <c r="HH19" i="14" s="1"/>
  <c r="IS19" i="14"/>
  <c r="IS18" i="14"/>
  <c r="AB19" i="13"/>
  <c r="HH19" i="13" s="1"/>
  <c r="AB19" i="29"/>
  <c r="HH19" i="29" s="1"/>
  <c r="AA17" i="29"/>
  <c r="HA17" i="29" s="1"/>
  <c r="AB19" i="28"/>
  <c r="HH19" i="28" s="1"/>
  <c r="AB19" i="9"/>
  <c r="HH19" i="9" s="1"/>
  <c r="AA19" i="10"/>
  <c r="HA19" i="10" s="1"/>
  <c r="IS19" i="10"/>
  <c r="FM16" i="13"/>
  <c r="FM18" i="24"/>
  <c r="IS19" i="23"/>
  <c r="AB19" i="23"/>
  <c r="HH19" i="23" s="1"/>
  <c r="AA18" i="23"/>
  <c r="HA18" i="23" s="1"/>
  <c r="AA17" i="23"/>
  <c r="HA17" i="23" s="1"/>
  <c r="GT21" i="23"/>
  <c r="AB16" i="23"/>
  <c r="HH16" i="23" s="1"/>
  <c r="AA16" i="23"/>
  <c r="HA16" i="23" s="1"/>
  <c r="AB19" i="25"/>
  <c r="HH19" i="25" s="1"/>
  <c r="AA16" i="25"/>
  <c r="HA16" i="25" s="1"/>
  <c r="AA18" i="26"/>
  <c r="HA18" i="26" s="1"/>
  <c r="AA19" i="24"/>
  <c r="HA19" i="24" s="1"/>
  <c r="AA18" i="21"/>
  <c r="HA18" i="21" s="1"/>
  <c r="AB18" i="21"/>
  <c r="HH18" i="21" s="1"/>
  <c r="AB17" i="20"/>
  <c r="HH17" i="20" s="1"/>
  <c r="AB16" i="20"/>
  <c r="HH16" i="20" s="1"/>
  <c r="AB19" i="19"/>
  <c r="HH19" i="19" s="1"/>
  <c r="IS19" i="19"/>
  <c r="AB17" i="19"/>
  <c r="HH17" i="19" s="1"/>
  <c r="AA17" i="19"/>
  <c r="HA17" i="19" s="1"/>
  <c r="AB17" i="17"/>
  <c r="HH17" i="17" s="1"/>
  <c r="AA17" i="16"/>
  <c r="HA17" i="16" s="1"/>
  <c r="AA16" i="16"/>
  <c r="HA16" i="16" s="1"/>
  <c r="AB19" i="15"/>
  <c r="HH19" i="15" s="1"/>
  <c r="AB18" i="15"/>
  <c r="HH18" i="15" s="1"/>
  <c r="AA17" i="15"/>
  <c r="HA17" i="15" s="1"/>
  <c r="AB17" i="15"/>
  <c r="HH17" i="15" s="1"/>
  <c r="IT21" i="14"/>
  <c r="AA19" i="13"/>
  <c r="HA19" i="13" s="1"/>
  <c r="IS19" i="13"/>
  <c r="AB18" i="13"/>
  <c r="HH18" i="13" s="1"/>
  <c r="AB17" i="13"/>
  <c r="HH17" i="13" s="1"/>
  <c r="GT21" i="13"/>
  <c r="IS16" i="13"/>
  <c r="AA16" i="13"/>
  <c r="HA16" i="13" s="1"/>
  <c r="IS16" i="29"/>
  <c r="AB16" i="29"/>
  <c r="HH16" i="29" s="1"/>
  <c r="GT21" i="28"/>
  <c r="AB16" i="28"/>
  <c r="HH16" i="28" s="1"/>
  <c r="IS19" i="31"/>
  <c r="AB16" i="31"/>
  <c r="HH16" i="31" s="1"/>
  <c r="IT21" i="30"/>
  <c r="AA16" i="10"/>
  <c r="HA16" i="10" s="1"/>
  <c r="GM16" i="10"/>
  <c r="AA19" i="9"/>
  <c r="HA19" i="9" s="1"/>
  <c r="IS16" i="8"/>
  <c r="AB16" i="10"/>
  <c r="HH16" i="10" s="1"/>
  <c r="Q27" i="6"/>
  <c r="GT21" i="9"/>
  <c r="AB16" i="13"/>
  <c r="HH16" i="13" s="1"/>
  <c r="GM18" i="13"/>
  <c r="IT21" i="15"/>
  <c r="AB16" i="19"/>
  <c r="HH16" i="19" s="1"/>
  <c r="IT21" i="19"/>
  <c r="AA17" i="20"/>
  <c r="HA17" i="20" s="1"/>
  <c r="AB16" i="21"/>
  <c r="HH16" i="21" s="1"/>
  <c r="IT21" i="21"/>
  <c r="IS18" i="23"/>
  <c r="GT21" i="30"/>
  <c r="IS16" i="9"/>
  <c r="IS17" i="30"/>
  <c r="AA18" i="30"/>
  <c r="HA18" i="30" s="1"/>
  <c r="GM17" i="20"/>
  <c r="GM21" i="20" s="1"/>
  <c r="AB18" i="19"/>
  <c r="HH18" i="19" s="1"/>
  <c r="IS18" i="21"/>
  <c r="IS16" i="26"/>
  <c r="AB16" i="26"/>
  <c r="HH16" i="26" s="1"/>
  <c r="IS16" i="24"/>
  <c r="IS18" i="25"/>
  <c r="GT21" i="25"/>
  <c r="AB16" i="30"/>
  <c r="HH16" i="30" s="1"/>
  <c r="AB18" i="30"/>
  <c r="HH18" i="30" s="1"/>
  <c r="IS16" i="16"/>
  <c r="GM17" i="16"/>
  <c r="GM21" i="14"/>
  <c r="AA16" i="14"/>
  <c r="HA16" i="14" s="1"/>
  <c r="IT21" i="17"/>
  <c r="IT21" i="25"/>
  <c r="IS16" i="25"/>
  <c r="IS17" i="25"/>
  <c r="AB17" i="25"/>
  <c r="HH17" i="25" s="1"/>
  <c r="GM17" i="25"/>
  <c r="GM21" i="25" s="1"/>
  <c r="AB18" i="23"/>
  <c r="HH18" i="23" s="1"/>
  <c r="AB17" i="23"/>
  <c r="HH17" i="23" s="1"/>
  <c r="GM17" i="23"/>
  <c r="GM21" i="23" s="1"/>
  <c r="IT21" i="23"/>
  <c r="AB20" i="24"/>
  <c r="HH20" i="24" s="1"/>
  <c r="AA20" i="24"/>
  <c r="HA20" i="24" s="1"/>
  <c r="IS20" i="24"/>
  <c r="GM19" i="24"/>
  <c r="GM21" i="24" s="1"/>
  <c r="AB19" i="24"/>
  <c r="HH19" i="24" s="1"/>
  <c r="IS19" i="24"/>
  <c r="IT21" i="24"/>
  <c r="GT21" i="24"/>
  <c r="IS17" i="24"/>
  <c r="AB17" i="24"/>
  <c r="HH17" i="24" s="1"/>
  <c r="AA17" i="24"/>
  <c r="HA17" i="24" s="1"/>
  <c r="AA16" i="24"/>
  <c r="HA16" i="24" s="1"/>
  <c r="IS16" i="23"/>
  <c r="AB19" i="21"/>
  <c r="HH19" i="21" s="1"/>
  <c r="AB18" i="24"/>
  <c r="HH18" i="24" s="1"/>
  <c r="AA18" i="24"/>
  <c r="HA18" i="24" s="1"/>
  <c r="IS18" i="24"/>
  <c r="AA19" i="21"/>
  <c r="HA19" i="21" s="1"/>
  <c r="GT21" i="21"/>
  <c r="IS18" i="26"/>
  <c r="AB17" i="26"/>
  <c r="HH17" i="26" s="1"/>
  <c r="GT21" i="26"/>
  <c r="AA17" i="26"/>
  <c r="HA17" i="26" s="1"/>
  <c r="AA16" i="26"/>
  <c r="HA16" i="26" s="1"/>
  <c r="IS20" i="21"/>
  <c r="IS19" i="21"/>
  <c r="GM17" i="21"/>
  <c r="GM21" i="21" s="1"/>
  <c r="IS17" i="21"/>
  <c r="AB17" i="21"/>
  <c r="HH17" i="21" s="1"/>
  <c r="IS16" i="21"/>
  <c r="AA16" i="21"/>
  <c r="HA16" i="21" s="1"/>
  <c r="GM21" i="17"/>
  <c r="IS19" i="17"/>
  <c r="AA19" i="17"/>
  <c r="HA19" i="17" s="1"/>
  <c r="AB19" i="17"/>
  <c r="HH19" i="17" s="1"/>
  <c r="GT21" i="17"/>
  <c r="AB16" i="17"/>
  <c r="HH16" i="17" s="1"/>
  <c r="AA16" i="17"/>
  <c r="HA16" i="17" s="1"/>
  <c r="IS16" i="17"/>
  <c r="IS17" i="15"/>
  <c r="IS18" i="17"/>
  <c r="AB18" i="17"/>
  <c r="HH18" i="17" s="1"/>
  <c r="AA18" i="17"/>
  <c r="HA18" i="17" s="1"/>
  <c r="GT21" i="15"/>
  <c r="AA19" i="15"/>
  <c r="HA19" i="15" s="1"/>
  <c r="IS19" i="15"/>
  <c r="IT21" i="20"/>
  <c r="GT21" i="19"/>
  <c r="AA18" i="19"/>
  <c r="HA18" i="19" s="1"/>
  <c r="IS17" i="20"/>
  <c r="IS16" i="19"/>
  <c r="GM16" i="19"/>
  <c r="GM21" i="19" s="1"/>
  <c r="IS17" i="19"/>
  <c r="AA17" i="17"/>
  <c r="HA17" i="17" s="1"/>
  <c r="IS17" i="17"/>
  <c r="AB18" i="16"/>
  <c r="HH18" i="16" s="1"/>
  <c r="GM18" i="16"/>
  <c r="IS18" i="16"/>
  <c r="AA18" i="15"/>
  <c r="HA18" i="15" s="1"/>
  <c r="GM21" i="15"/>
  <c r="IS18" i="15"/>
  <c r="IS20" i="31"/>
  <c r="AA20" i="31"/>
  <c r="HA20" i="31" s="1"/>
  <c r="GM20" i="31"/>
  <c r="AA16" i="31"/>
  <c r="HA16" i="31" s="1"/>
  <c r="IS16" i="15"/>
  <c r="AB16" i="15"/>
  <c r="HH16" i="15" s="1"/>
  <c r="AA16" i="15"/>
  <c r="HA16" i="15" s="1"/>
  <c r="AA18" i="14"/>
  <c r="HA18" i="14" s="1"/>
  <c r="GT21" i="14"/>
  <c r="AB18" i="14"/>
  <c r="HH18" i="14" s="1"/>
  <c r="IS16" i="14"/>
  <c r="AB16" i="14"/>
  <c r="HH16" i="14" s="1"/>
  <c r="IT21" i="16"/>
  <c r="AB17" i="16"/>
  <c r="HH17" i="16" s="1"/>
  <c r="IS17" i="16"/>
  <c r="IT21" i="13"/>
  <c r="AA17" i="13"/>
  <c r="HA17" i="13" s="1"/>
  <c r="IS17" i="13"/>
  <c r="AB17" i="14"/>
  <c r="HH17" i="14" s="1"/>
  <c r="IS17" i="14"/>
  <c r="AA17" i="14"/>
  <c r="HA17" i="14" s="1"/>
  <c r="GT21" i="31"/>
  <c r="AA18" i="31"/>
  <c r="HA18" i="31" s="1"/>
  <c r="AB18" i="31"/>
  <c r="HH18" i="31" s="1"/>
  <c r="IS18" i="31"/>
  <c r="AB17" i="31"/>
  <c r="HH17" i="31" s="1"/>
  <c r="IS17" i="31"/>
  <c r="AA17" i="31"/>
  <c r="HA17" i="31" s="1"/>
  <c r="GM17" i="31"/>
  <c r="AB19" i="31"/>
  <c r="HH19" i="31" s="1"/>
  <c r="AA19" i="31"/>
  <c r="HA19" i="31" s="1"/>
  <c r="IT21" i="31"/>
  <c r="IS16" i="31"/>
  <c r="GM16" i="13"/>
  <c r="AB18" i="29"/>
  <c r="HH18" i="29" s="1"/>
  <c r="AA18" i="29"/>
  <c r="HA18" i="29" s="1"/>
  <c r="GM21" i="29"/>
  <c r="IT21" i="29"/>
  <c r="AB18" i="28"/>
  <c r="HH18" i="28" s="1"/>
  <c r="IT21" i="28"/>
  <c r="AA18" i="28"/>
  <c r="HA18" i="28" s="1"/>
  <c r="IS18" i="30"/>
  <c r="GM21" i="30"/>
  <c r="IS16" i="30"/>
  <c r="AA16" i="30"/>
  <c r="HA16" i="30" s="1"/>
  <c r="AA16" i="29"/>
  <c r="HA16" i="29" s="1"/>
  <c r="AA16" i="28"/>
  <c r="HA16" i="28" s="1"/>
  <c r="IS16" i="28"/>
  <c r="GM16" i="28"/>
  <c r="AB17" i="30"/>
  <c r="HH17" i="30" s="1"/>
  <c r="AA17" i="30"/>
  <c r="HA17" i="30" s="1"/>
  <c r="GM17" i="28"/>
  <c r="AA17" i="28"/>
  <c r="HA17" i="28" s="1"/>
  <c r="IS17" i="29"/>
  <c r="GT17" i="29"/>
  <c r="GT21" i="29" s="1"/>
  <c r="AB17" i="29"/>
  <c r="HH17" i="29" s="1"/>
  <c r="AA20" i="8"/>
  <c r="HA20" i="8" s="1"/>
  <c r="AB20" i="8"/>
  <c r="HH20" i="8" s="1"/>
  <c r="AB19" i="8"/>
  <c r="HH19" i="8" s="1"/>
  <c r="GM19" i="8"/>
  <c r="GM21" i="8" s="1"/>
  <c r="AA18" i="9"/>
  <c r="HA18" i="9" s="1"/>
  <c r="AB18" i="9"/>
  <c r="HH18" i="9" s="1"/>
  <c r="AA18" i="10"/>
  <c r="HA18" i="10" s="1"/>
  <c r="IT21" i="9"/>
  <c r="AB16" i="9"/>
  <c r="HH16" i="9" s="1"/>
  <c r="GT21" i="10"/>
  <c r="GM17" i="10"/>
  <c r="AA17" i="10"/>
  <c r="HA17" i="10" s="1"/>
  <c r="AB17" i="10"/>
  <c r="HH17" i="10" s="1"/>
  <c r="AB18" i="10"/>
  <c r="HH18" i="10" s="1"/>
  <c r="AB18" i="8"/>
  <c r="HH18" i="8" s="1"/>
  <c r="AA18" i="8"/>
  <c r="HA18" i="8" s="1"/>
  <c r="AA17" i="8"/>
  <c r="HA17" i="8" s="1"/>
  <c r="AB17" i="8"/>
  <c r="HH17" i="8" s="1"/>
  <c r="AA16" i="8"/>
  <c r="HA16" i="8" s="1"/>
  <c r="AB16" i="8"/>
  <c r="HH16" i="8" s="1"/>
  <c r="GM21" i="9"/>
  <c r="AA16" i="9"/>
  <c r="HA16" i="9" s="1"/>
  <c r="IS17" i="9"/>
  <c r="AA17" i="9"/>
  <c r="HA17" i="9" s="1"/>
  <c r="AB17" i="9"/>
  <c r="HH17" i="9" s="1"/>
  <c r="GT21" i="8"/>
  <c r="E58" i="4"/>
  <c r="E49" i="4"/>
  <c r="E40" i="4"/>
  <c r="E31" i="4"/>
  <c r="E76" i="4"/>
  <c r="E67" i="4"/>
  <c r="E13" i="4"/>
  <c r="E22" i="4"/>
  <c r="R20" i="6"/>
  <c r="P20" i="6"/>
  <c r="GM21" i="10" l="1"/>
  <c r="HH21" i="25"/>
  <c r="IS21" i="10"/>
  <c r="GM21" i="16"/>
  <c r="IS21" i="26"/>
  <c r="IS21" i="8"/>
  <c r="IS21" i="20"/>
  <c r="HA21" i="25"/>
  <c r="IS21" i="23"/>
  <c r="HA21" i="21"/>
  <c r="HA21" i="20"/>
  <c r="GM21" i="13"/>
  <c r="HH21" i="23"/>
  <c r="HA21" i="23"/>
  <c r="HA21" i="26"/>
  <c r="HH21" i="26"/>
  <c r="HH21" i="24"/>
  <c r="HA21" i="24"/>
  <c r="HH21" i="21"/>
  <c r="HH21" i="20"/>
  <c r="HA21" i="19"/>
  <c r="HH21" i="19"/>
  <c r="HA21" i="17"/>
  <c r="HH21" i="17"/>
  <c r="HH21" i="16"/>
  <c r="HA21" i="16"/>
  <c r="HA21" i="15"/>
  <c r="HH21" i="15"/>
  <c r="HH21" i="14"/>
  <c r="IS21" i="14"/>
  <c r="HA21" i="14"/>
  <c r="HH21" i="13"/>
  <c r="HA21" i="13"/>
  <c r="HA21" i="29"/>
  <c r="HH21" i="29"/>
  <c r="HH21" i="28"/>
  <c r="IS21" i="28"/>
  <c r="HA21" i="28"/>
  <c r="HA21" i="31"/>
  <c r="HH21" i="31"/>
  <c r="IS21" i="30"/>
  <c r="HA21" i="30"/>
  <c r="HH21" i="30"/>
  <c r="HH21" i="9"/>
  <c r="HA21" i="9"/>
  <c r="IS21" i="9"/>
  <c r="HA21" i="8"/>
  <c r="HH21" i="8"/>
  <c r="HA21" i="10"/>
  <c r="HH21" i="10"/>
  <c r="R22" i="6"/>
  <c r="P22" i="6"/>
  <c r="Q28" i="6"/>
  <c r="IS21" i="29"/>
  <c r="IS21" i="19"/>
  <c r="GM21" i="31"/>
  <c r="IS21" i="16"/>
  <c r="IS21" i="25"/>
  <c r="GM21" i="28"/>
  <c r="IS21" i="24"/>
  <c r="IS21" i="21"/>
  <c r="IS21" i="17"/>
  <c r="IS21" i="15"/>
  <c r="IS21" i="13"/>
  <c r="IS21" i="31"/>
  <c r="R21" i="6"/>
  <c r="P21" i="6"/>
  <c r="K58" i="6"/>
  <c r="K52" i="6"/>
  <c r="K33" i="6"/>
  <c r="B7" i="6"/>
  <c r="K29" i="6"/>
  <c r="K23" i="6"/>
  <c r="L14" i="6"/>
  <c r="K14" i="6"/>
  <c r="I14" i="6"/>
  <c r="K9" i="6"/>
  <c r="I9" i="6"/>
  <c r="F15" i="93"/>
  <c r="BA11" i="93"/>
  <c r="M17" i="93"/>
  <c r="H15" i="93"/>
  <c r="F21" i="93"/>
  <c r="U17" i="93"/>
  <c r="U25" i="93"/>
  <c r="K21" i="93"/>
  <c r="AB21" i="93"/>
  <c r="W17" i="93"/>
  <c r="AT15" i="93"/>
  <c r="R23" i="93"/>
  <c r="AQ15" i="93"/>
  <c r="AY17" i="93"/>
  <c r="AG7" i="93"/>
  <c r="P21" i="93"/>
  <c r="R21" i="93"/>
  <c r="AV13" i="93"/>
  <c r="AG13" i="93"/>
  <c r="AO13" i="93"/>
  <c r="P25" i="93"/>
  <c r="AY13" i="93"/>
  <c r="Z7" i="93"/>
  <c r="AY11" i="93"/>
  <c r="AE9" i="93"/>
  <c r="F17" i="93"/>
  <c r="AG9" i="93"/>
  <c r="AE13" i="93"/>
  <c r="AO9" i="93"/>
  <c r="AQ9" i="93"/>
  <c r="U21" i="93"/>
  <c r="W9" i="93"/>
  <c r="AT11" i="93"/>
  <c r="AO15" i="93"/>
  <c r="AT13" i="93"/>
  <c r="M25" i="93"/>
  <c r="AV7" i="93"/>
  <c r="AO11" i="93"/>
  <c r="AT7" i="93"/>
  <c r="M21" i="93"/>
  <c r="BA17" i="93"/>
  <c r="H23" i="93"/>
  <c r="P23" i="93"/>
  <c r="R17" i="93"/>
  <c r="AB7" i="93"/>
  <c r="AY9" i="93"/>
  <c r="AV11" i="93"/>
  <c r="AG11" i="93"/>
  <c r="AQ7" i="93"/>
  <c r="Z21" i="93"/>
  <c r="U9" i="93"/>
  <c r="W21" i="93"/>
  <c r="AE25" i="93"/>
  <c r="W23" i="93"/>
  <c r="BA9" i="93"/>
  <c r="AQ13" i="93"/>
  <c r="K13" i="93"/>
  <c r="H17" i="93"/>
  <c r="AQ11" i="93"/>
  <c r="K25" i="93"/>
  <c r="AE7" i="93"/>
  <c r="M13" i="93"/>
  <c r="W25" i="93"/>
  <c r="P17" i="93"/>
  <c r="AO7" i="93"/>
  <c r="AE11" i="93"/>
  <c r="F23" i="93"/>
  <c r="AV15" i="93"/>
  <c r="AB23" i="93"/>
  <c r="U23" i="93"/>
  <c r="AG25" i="93"/>
  <c r="Z23" i="93"/>
  <c r="R25" i="93"/>
  <c r="K17" i="93"/>
  <c r="BA13" i="93"/>
  <c r="H21" i="93"/>
  <c r="AO10" i="93" l="1"/>
  <c r="AC11" i="78"/>
  <c r="AX53" i="78" s="1"/>
  <c r="A1" i="78"/>
  <c r="GW11" i="67"/>
  <c r="EP11" i="67"/>
  <c r="AC3" i="67"/>
  <c r="CF4" i="67"/>
  <c r="AP11" i="93"/>
  <c r="P20" i="93"/>
  <c r="Q21" i="93"/>
  <c r="AO12" i="93"/>
  <c r="AT10" i="93"/>
  <c r="A1" i="88"/>
  <c r="AC11" i="88"/>
  <c r="AX53" i="88" s="1"/>
  <c r="V17" i="93"/>
  <c r="L13" i="93"/>
  <c r="K12" i="93"/>
  <c r="U8" i="93"/>
  <c r="V9" i="93"/>
  <c r="AY16" i="93"/>
  <c r="AE24" i="93"/>
  <c r="AF25" i="93"/>
  <c r="AZ17" i="93"/>
  <c r="F14" i="93"/>
  <c r="AA7" i="93"/>
  <c r="Z6" i="93"/>
  <c r="G15" i="93"/>
  <c r="V21" i="93"/>
  <c r="U20" i="93"/>
  <c r="AP13" i="93"/>
  <c r="P22" i="93"/>
  <c r="Q23" i="93"/>
  <c r="AU11" i="93"/>
  <c r="K24" i="93"/>
  <c r="L25" i="93"/>
  <c r="AZ9" i="93"/>
  <c r="AY8" i="93"/>
  <c r="G17" i="93"/>
  <c r="F16" i="93"/>
  <c r="AE6" i="93"/>
  <c r="AF7" i="93"/>
  <c r="AT12" i="93"/>
  <c r="V23" i="93"/>
  <c r="U22" i="93"/>
  <c r="AU13" i="93"/>
  <c r="Z20" i="93"/>
  <c r="AP15" i="93"/>
  <c r="AO14" i="93"/>
  <c r="AA21" i="93"/>
  <c r="Q25" i="93"/>
  <c r="P24" i="93"/>
  <c r="AY10" i="93"/>
  <c r="AZ11" i="93"/>
  <c r="AE8" i="93"/>
  <c r="L17" i="93"/>
  <c r="K16" i="93"/>
  <c r="AF9" i="93"/>
  <c r="Z22" i="93"/>
  <c r="AT14" i="93"/>
  <c r="AU15" i="93"/>
  <c r="AA23" i="93"/>
  <c r="AY12" i="93"/>
  <c r="AZ13" i="93"/>
  <c r="U24" i="93"/>
  <c r="V25" i="93"/>
  <c r="F20" i="93"/>
  <c r="G21" i="93"/>
  <c r="AO6" i="93"/>
  <c r="AP7" i="93"/>
  <c r="AE10" i="93"/>
  <c r="AF11" i="93"/>
  <c r="P16" i="93"/>
  <c r="Q17" i="93"/>
  <c r="AE12" i="93"/>
  <c r="AF13" i="93"/>
  <c r="U16" i="93"/>
  <c r="AO8" i="93"/>
  <c r="AP9" i="93"/>
  <c r="K20" i="93"/>
  <c r="L21" i="93"/>
  <c r="AT6" i="93"/>
  <c r="AU7" i="93"/>
  <c r="F22" i="93"/>
  <c r="G23" i="93"/>
  <c r="Q29" i="6"/>
  <c r="AC11" i="76"/>
  <c r="AX53" i="76" s="1"/>
  <c r="AC11" i="85"/>
  <c r="AX53" i="85" s="1"/>
  <c r="A1" i="85"/>
  <c r="A1" i="76"/>
  <c r="AC11" i="69"/>
  <c r="AX53" i="69" s="1"/>
  <c r="A1" i="69"/>
  <c r="HF11" i="67"/>
  <c r="GK11" i="67"/>
  <c r="C13" i="67"/>
  <c r="A13" i="67"/>
  <c r="HF13" i="67"/>
  <c r="R23" i="6"/>
  <c r="P23" i="6"/>
  <c r="BC6" i="93" l="1"/>
  <c r="BF6" i="93" s="1"/>
  <c r="BC12" i="93"/>
  <c r="BF12" i="93" s="1"/>
  <c r="BC22" i="93"/>
  <c r="BF22" i="93" s="1"/>
  <c r="BC20" i="93"/>
  <c r="BF20" i="93" s="1"/>
  <c r="BC10" i="93"/>
  <c r="BF10" i="93" s="1"/>
  <c r="BC8" i="93"/>
  <c r="BF8" i="93" s="1"/>
  <c r="BC16" i="93"/>
  <c r="BF16" i="93" s="1"/>
  <c r="R37" i="6"/>
  <c r="R38" i="6" s="1"/>
  <c r="P37" i="6"/>
  <c r="P38" i="6" s="1"/>
  <c r="Q30" i="6"/>
  <c r="Q31" i="6" s="1"/>
  <c r="DX8" i="67"/>
  <c r="AM8" i="67"/>
  <c r="R24" i="6"/>
  <c r="R25" i="6" s="1"/>
  <c r="P24" i="6"/>
  <c r="P25" i="6" s="1"/>
  <c r="P39" i="6" l="1"/>
  <c r="P41" i="6" s="1"/>
  <c r="R39" i="6"/>
  <c r="Q32" i="6"/>
  <c r="AC11" i="67"/>
  <c r="AX53" i="67" s="1"/>
  <c r="A1" i="67"/>
  <c r="A9" i="67"/>
  <c r="A2" i="67"/>
  <c r="B19" i="67" s="1"/>
  <c r="A5" i="67"/>
  <c r="AC13" i="67"/>
  <c r="A4" i="67"/>
  <c r="A7" i="67"/>
  <c r="D11" i="67"/>
  <c r="D12" i="67" s="1"/>
  <c r="B12" i="67"/>
  <c r="A8" i="67"/>
  <c r="A6" i="67"/>
  <c r="A3" i="67"/>
  <c r="R26" i="6"/>
  <c r="P26" i="6"/>
  <c r="P40" i="6" l="1"/>
  <c r="R28" i="6"/>
  <c r="R40" i="6"/>
  <c r="R41" i="6"/>
  <c r="Q33" i="6"/>
  <c r="P28" i="6"/>
  <c r="AB21" i="67"/>
  <c r="CI21" i="67" s="1"/>
  <c r="C3" i="67"/>
  <c r="D19" i="67" s="1"/>
  <c r="C7" i="67"/>
  <c r="H59" i="67" s="1"/>
  <c r="E57" i="67"/>
  <c r="C9" i="67"/>
  <c r="C8" i="67"/>
  <c r="E59" i="67"/>
  <c r="C5" i="67"/>
  <c r="E60" i="67"/>
  <c r="E58" i="67"/>
  <c r="E61" i="67"/>
  <c r="E62" i="67" s="1"/>
  <c r="E63" i="67" s="1"/>
  <c r="E64" i="67" s="1"/>
  <c r="E65" i="67" s="1"/>
  <c r="E66" i="67" s="1"/>
  <c r="B20" i="67"/>
  <c r="C6" i="67"/>
  <c r="C1" i="67"/>
  <c r="CI11" i="67"/>
  <c r="ET53" i="67" s="1"/>
  <c r="CI13" i="67"/>
  <c r="C4" i="67"/>
  <c r="C2" i="67"/>
  <c r="R27" i="6"/>
  <c r="P27" i="6"/>
  <c r="C27" i="7"/>
  <c r="D24" i="7"/>
  <c r="D50" i="7" s="1"/>
  <c r="EO20" i="5"/>
  <c r="EU20" i="5"/>
  <c r="EY20" i="5"/>
  <c r="FC20" i="5" s="1"/>
  <c r="FE20" i="5"/>
  <c r="FI20" i="5"/>
  <c r="FO20" i="5"/>
  <c r="FS20" i="5"/>
  <c r="FY20" i="5"/>
  <c r="GC20" i="5"/>
  <c r="GI20" i="5"/>
  <c r="HD42" i="5"/>
  <c r="B12" i="6"/>
  <c r="B18" i="6"/>
  <c r="B24" i="6"/>
  <c r="B36" i="6"/>
  <c r="B30" i="6"/>
  <c r="B49" i="6"/>
  <c r="B55" i="6"/>
  <c r="P42" i="6" l="1"/>
  <c r="R42" i="6"/>
  <c r="Q34" i="6"/>
  <c r="H58" i="67"/>
  <c r="H57" i="67"/>
  <c r="H60" i="67"/>
  <c r="H61" i="67"/>
  <c r="H62" i="67" s="1"/>
  <c r="H63" i="67" s="1"/>
  <c r="H64" i="67" s="1"/>
  <c r="H65" i="67" s="1"/>
  <c r="H66" i="67" s="1"/>
  <c r="ES20" i="5"/>
  <c r="FW20" i="5"/>
  <c r="FM20" i="5"/>
  <c r="GG20" i="5"/>
  <c r="R29" i="6"/>
  <c r="P29" i="6"/>
  <c r="D49" i="7"/>
  <c r="E49" i="7"/>
  <c r="D48" i="7"/>
  <c r="E48" i="7"/>
  <c r="P43" i="6" l="1"/>
  <c r="P44" i="6" s="1"/>
  <c r="R43" i="6"/>
  <c r="R44" i="6" s="1"/>
  <c r="Q35" i="6"/>
  <c r="R36" i="6"/>
  <c r="R30" i="6" s="1"/>
  <c r="R31" i="6" s="1"/>
  <c r="AC13" i="5"/>
  <c r="P36" i="6"/>
  <c r="P30" i="6" s="1"/>
  <c r="P31" i="6" s="1"/>
  <c r="K60" i="6"/>
  <c r="K57" i="6"/>
  <c r="K56" i="6"/>
  <c r="K54" i="6"/>
  <c r="K51" i="6"/>
  <c r="K50" i="6"/>
  <c r="P45" i="6" l="1"/>
  <c r="R45" i="6"/>
  <c r="Q36" i="6"/>
  <c r="Q37" i="6" s="1"/>
  <c r="Q38" i="6" s="1"/>
  <c r="AC11" i="5"/>
  <c r="A1" i="5"/>
  <c r="R32" i="6"/>
  <c r="P32" i="6"/>
  <c r="A9" i="5"/>
  <c r="A5" i="5"/>
  <c r="A6" i="5"/>
  <c r="A2" i="5"/>
  <c r="A8" i="5"/>
  <c r="A4" i="5"/>
  <c r="A7" i="5"/>
  <c r="A3" i="5"/>
  <c r="B12" i="5"/>
  <c r="K35" i="6"/>
  <c r="K32" i="6"/>
  <c r="K31" i="6"/>
  <c r="K27" i="6"/>
  <c r="K26" i="6"/>
  <c r="K25" i="6"/>
  <c r="K21" i="6"/>
  <c r="K20" i="6"/>
  <c r="K19" i="6"/>
  <c r="L17" i="6"/>
  <c r="L23" i="6" s="1"/>
  <c r="L29" i="6" s="1"/>
  <c r="L35" i="6" s="1"/>
  <c r="L42" i="6" s="1"/>
  <c r="K17" i="6"/>
  <c r="I17" i="6"/>
  <c r="L15" i="6"/>
  <c r="L20" i="6" s="1"/>
  <c r="K15" i="6"/>
  <c r="I15" i="6"/>
  <c r="L13" i="6"/>
  <c r="K13" i="6"/>
  <c r="I13" i="6"/>
  <c r="M8" i="6"/>
  <c r="K8" i="6"/>
  <c r="I8" i="6"/>
  <c r="B10" i="6"/>
  <c r="K7" i="6"/>
  <c r="O7" i="6" s="1"/>
  <c r="EY72" i="5"/>
  <c r="BC72" i="5"/>
  <c r="AB20" i="5"/>
  <c r="HH20" i="5" s="1"/>
  <c r="AA20" i="5"/>
  <c r="HA20" i="5" s="1"/>
  <c r="Z20" i="5"/>
  <c r="GT20" i="5" s="1"/>
  <c r="Y20" i="5"/>
  <c r="GM20" i="5" s="1"/>
  <c r="N20" i="5"/>
  <c r="X20" i="5" s="1"/>
  <c r="M20" i="5"/>
  <c r="R20" i="5" s="1"/>
  <c r="L20" i="5"/>
  <c r="Q20" i="5" s="1"/>
  <c r="K20" i="5"/>
  <c r="J20" i="5"/>
  <c r="T20" i="5" s="1"/>
  <c r="N19" i="5"/>
  <c r="M19" i="5"/>
  <c r="L19" i="5"/>
  <c r="K19" i="5"/>
  <c r="J19" i="5"/>
  <c r="N18" i="5"/>
  <c r="M18" i="5"/>
  <c r="L18" i="5"/>
  <c r="K18" i="5"/>
  <c r="J18" i="5"/>
  <c r="N17" i="5"/>
  <c r="M17" i="5"/>
  <c r="L17" i="5"/>
  <c r="K17" i="5"/>
  <c r="J17" i="5"/>
  <c r="GI16" i="5"/>
  <c r="GC16" i="5"/>
  <c r="N16" i="5"/>
  <c r="X16" i="5" s="1"/>
  <c r="M16" i="5"/>
  <c r="L16" i="5"/>
  <c r="K16" i="5"/>
  <c r="J16" i="5"/>
  <c r="S19" i="5" l="1"/>
  <c r="IH19" i="5"/>
  <c r="IF19" i="5"/>
  <c r="IG19" i="5"/>
  <c r="IE19" i="5"/>
  <c r="GC19" i="5" s="1"/>
  <c r="GI19" i="5"/>
  <c r="IR19" i="5" s="1"/>
  <c r="IB19" i="5"/>
  <c r="IC19" i="5"/>
  <c r="IA19" i="5"/>
  <c r="FS19" i="5" s="1"/>
  <c r="ID19" i="5"/>
  <c r="FY19" i="5"/>
  <c r="IQ19" i="5" s="1"/>
  <c r="IH17" i="5"/>
  <c r="IG17" i="5"/>
  <c r="IE17" i="5"/>
  <c r="GC17" i="5" s="1"/>
  <c r="IF17" i="5"/>
  <c r="GI17" i="5"/>
  <c r="IR17" i="5" s="1"/>
  <c r="P47" i="6"/>
  <c r="P46" i="6"/>
  <c r="ID17" i="5"/>
  <c r="IB17" i="5"/>
  <c r="IC17" i="5"/>
  <c r="IA17" i="5"/>
  <c r="FY17" i="5"/>
  <c r="IQ17" i="5" s="1"/>
  <c r="FS17" i="5"/>
  <c r="X18" i="5"/>
  <c r="IH18" i="5"/>
  <c r="IF18" i="5"/>
  <c r="IG18" i="5"/>
  <c r="IE18" i="5"/>
  <c r="GC18" i="5" s="1"/>
  <c r="GI18" i="5"/>
  <c r="IR18" i="5" s="1"/>
  <c r="R18" i="5"/>
  <c r="ID18" i="5"/>
  <c r="FY18" i="5" s="1"/>
  <c r="IQ18" i="5" s="1"/>
  <c r="IB18" i="5"/>
  <c r="IC18" i="5"/>
  <c r="IA18" i="5"/>
  <c r="FS18" i="5" s="1"/>
  <c r="R16" i="5"/>
  <c r="IC16" i="5"/>
  <c r="IA16" i="5"/>
  <c r="FS16" i="5" s="1"/>
  <c r="ID16" i="5"/>
  <c r="FY16" i="5" s="1"/>
  <c r="IQ16" i="5" s="1"/>
  <c r="IB16" i="5"/>
  <c r="R34" i="6"/>
  <c r="R47" i="6"/>
  <c r="R46" i="6"/>
  <c r="P34" i="6"/>
  <c r="Q39" i="6"/>
  <c r="HZ19" i="5"/>
  <c r="HX19" i="5"/>
  <c r="HW19" i="5"/>
  <c r="FI19" i="5" s="1"/>
  <c r="HY19" i="5"/>
  <c r="FO19" i="5"/>
  <c r="HT19" i="5"/>
  <c r="HS19" i="5"/>
  <c r="EY19" i="5" s="1"/>
  <c r="HV19" i="5"/>
  <c r="FE19" i="5" s="1"/>
  <c r="HU19" i="5"/>
  <c r="HO19" i="5"/>
  <c r="HQ19" i="5"/>
  <c r="HR19" i="5"/>
  <c r="HP19" i="5"/>
  <c r="EO19" i="5"/>
  <c r="HZ18" i="5"/>
  <c r="HX18" i="5"/>
  <c r="HW18" i="5"/>
  <c r="FI18" i="5" s="1"/>
  <c r="HY18" i="5"/>
  <c r="HT18" i="5"/>
  <c r="HS18" i="5"/>
  <c r="HV18" i="5"/>
  <c r="HU18" i="5"/>
  <c r="O18" i="5"/>
  <c r="HP18" i="5"/>
  <c r="HO18" i="5"/>
  <c r="HR18" i="5"/>
  <c r="EU18" i="5" s="1"/>
  <c r="HQ18" i="5"/>
  <c r="HZ17" i="5"/>
  <c r="HY17" i="5"/>
  <c r="HX17" i="5"/>
  <c r="HW17" i="5"/>
  <c r="FI17" i="5" s="1"/>
  <c r="FO17" i="5"/>
  <c r="HT17" i="5"/>
  <c r="HS17" i="5"/>
  <c r="EY17" i="5" s="1"/>
  <c r="HV17" i="5"/>
  <c r="FE17" i="5" s="1"/>
  <c r="HU17" i="5"/>
  <c r="HP17" i="5"/>
  <c r="HO17" i="5"/>
  <c r="EO17" i="5" s="1"/>
  <c r="HR17" i="5"/>
  <c r="EU17" i="5" s="1"/>
  <c r="HQ17" i="5"/>
  <c r="HZ16" i="5"/>
  <c r="FO16" i="5" s="1"/>
  <c r="IP16" i="5" s="1"/>
  <c r="HY16" i="5"/>
  <c r="HX16" i="5"/>
  <c r="HW16" i="5"/>
  <c r="FI16" i="5" s="1"/>
  <c r="IK16" i="5" s="1"/>
  <c r="HT16" i="5"/>
  <c r="HS16" i="5"/>
  <c r="EY16" i="5" s="1"/>
  <c r="HV16" i="5"/>
  <c r="HU16" i="5"/>
  <c r="HP16" i="5"/>
  <c r="HO16" i="5"/>
  <c r="EO16" i="5" s="1"/>
  <c r="ES16" i="5" s="1"/>
  <c r="HR16" i="5"/>
  <c r="EU16" i="5" s="1"/>
  <c r="IN16" i="5" s="1"/>
  <c r="HQ16" i="5"/>
  <c r="GK13" i="67"/>
  <c r="E58" i="5"/>
  <c r="GG16" i="5"/>
  <c r="AX53" i="5"/>
  <c r="E57" i="5"/>
  <c r="R33" i="6"/>
  <c r="P33" i="6"/>
  <c r="E60" i="5"/>
  <c r="N8" i="6"/>
  <c r="M9" i="6"/>
  <c r="B8" i="6"/>
  <c r="V18" i="5"/>
  <c r="W20" i="5"/>
  <c r="V19" i="5"/>
  <c r="V16" i="5"/>
  <c r="V20" i="5"/>
  <c r="O8" i="6"/>
  <c r="V17" i="5"/>
  <c r="W16" i="5"/>
  <c r="W17" i="5"/>
  <c r="W18" i="5"/>
  <c r="W19" i="5"/>
  <c r="R19" i="5"/>
  <c r="S16" i="5"/>
  <c r="R17" i="5"/>
  <c r="S18" i="5"/>
  <c r="L21" i="6"/>
  <c r="L26" i="6"/>
  <c r="L32" i="6" s="1"/>
  <c r="L39" i="6" s="1"/>
  <c r="L19" i="6"/>
  <c r="T17" i="5"/>
  <c r="P18" i="5"/>
  <c r="U18" i="5"/>
  <c r="P17" i="5"/>
  <c r="U17" i="5"/>
  <c r="O17" i="5"/>
  <c r="T19" i="5"/>
  <c r="P20" i="5"/>
  <c r="U20" i="5"/>
  <c r="O20" i="5"/>
  <c r="E59" i="5"/>
  <c r="P16" i="5"/>
  <c r="U16" i="5"/>
  <c r="O16" i="5"/>
  <c r="S17" i="5"/>
  <c r="T18" i="5"/>
  <c r="S20" i="5"/>
  <c r="X17" i="5"/>
  <c r="X19" i="5"/>
  <c r="E61" i="5"/>
  <c r="T16" i="5"/>
  <c r="P19" i="5"/>
  <c r="U19" i="5"/>
  <c r="O19" i="5"/>
  <c r="Q16" i="5"/>
  <c r="Q17" i="5"/>
  <c r="Q18" i="5"/>
  <c r="Q19" i="5"/>
  <c r="IM19" i="5" l="1"/>
  <c r="GG19" i="5"/>
  <c r="IL19" i="5"/>
  <c r="FW19" i="5"/>
  <c r="FO18" i="5"/>
  <c r="IP18" i="5" s="1"/>
  <c r="EY18" i="5"/>
  <c r="IJ18" i="5" s="1"/>
  <c r="EO18" i="5"/>
  <c r="ES18" i="5" s="1"/>
  <c r="EP11" i="8"/>
  <c r="CF4" i="8"/>
  <c r="GW11" i="8"/>
  <c r="AC3" i="8"/>
  <c r="FE18" i="5"/>
  <c r="IO18" i="5" s="1"/>
  <c r="IM17" i="5"/>
  <c r="GG17" i="5"/>
  <c r="P48" i="6"/>
  <c r="IL17" i="5"/>
  <c r="FW17" i="5"/>
  <c r="EU19" i="5"/>
  <c r="IN19" i="5" s="1"/>
  <c r="IM18" i="5"/>
  <c r="GG18" i="5"/>
  <c r="IL18" i="5"/>
  <c r="FW18" i="5"/>
  <c r="Y18" i="5"/>
  <c r="GM18" i="5" s="1"/>
  <c r="IL16" i="5"/>
  <c r="FW16" i="5"/>
  <c r="Z16" i="5"/>
  <c r="GT16" i="5" s="1"/>
  <c r="FE16" i="5"/>
  <c r="IO16" i="5" s="1"/>
  <c r="IT16" i="5" s="1"/>
  <c r="R48" i="6"/>
  <c r="Q40" i="6"/>
  <c r="IK19" i="5"/>
  <c r="FM19" i="5"/>
  <c r="IP19" i="5"/>
  <c r="IO19" i="5"/>
  <c r="Z19" i="5"/>
  <c r="GT19" i="5" s="1"/>
  <c r="IJ19" i="5"/>
  <c r="FC19" i="5"/>
  <c r="II19" i="5"/>
  <c r="ES19" i="5"/>
  <c r="IK18" i="5"/>
  <c r="FM18" i="5"/>
  <c r="Z18" i="5"/>
  <c r="GT18" i="5" s="1"/>
  <c r="IN18" i="5"/>
  <c r="II18" i="5"/>
  <c r="IK17" i="5"/>
  <c r="FM17" i="5"/>
  <c r="IP17" i="5"/>
  <c r="IO17" i="5"/>
  <c r="Z17" i="5"/>
  <c r="GT17" i="5" s="1"/>
  <c r="IJ17" i="5"/>
  <c r="FC17" i="5"/>
  <c r="IN17" i="5"/>
  <c r="II17" i="5"/>
  <c r="ES17" i="5"/>
  <c r="IJ16" i="5"/>
  <c r="FC16" i="5"/>
  <c r="II16" i="5"/>
  <c r="HF11" i="8"/>
  <c r="M10" i="6"/>
  <c r="C13" i="8"/>
  <c r="GK13" i="8"/>
  <c r="R35" i="6"/>
  <c r="P35" i="6"/>
  <c r="N9" i="6"/>
  <c r="O9" i="6"/>
  <c r="GK11" i="8"/>
  <c r="A13" i="8"/>
  <c r="HF13" i="8"/>
  <c r="B9" i="6"/>
  <c r="AC3" i="9" s="1"/>
  <c r="L27" i="6"/>
  <c r="L33" i="6" s="1"/>
  <c r="L40" i="6" s="1"/>
  <c r="L25" i="6"/>
  <c r="L31" i="6" s="1"/>
  <c r="L38" i="6" s="1"/>
  <c r="Y17" i="5"/>
  <c r="GM17" i="5" s="1"/>
  <c r="FM16" i="5"/>
  <c r="Y19" i="5"/>
  <c r="GM19" i="5" s="1"/>
  <c r="Y16" i="5"/>
  <c r="E62" i="5"/>
  <c r="E63" i="5" s="1"/>
  <c r="E64" i="5" s="1"/>
  <c r="E65" i="5" s="1"/>
  <c r="E66" i="5" s="1"/>
  <c r="A13" i="9" l="1"/>
  <c r="C13" i="9"/>
  <c r="DX8" i="9" s="1"/>
  <c r="IS19" i="5"/>
  <c r="EP11" i="5"/>
  <c r="AA18" i="5"/>
  <c r="HA18" i="5" s="1"/>
  <c r="FC18" i="5"/>
  <c r="CF4" i="9"/>
  <c r="AC3" i="5"/>
  <c r="GW11" i="9"/>
  <c r="EP11" i="10"/>
  <c r="GW11" i="5"/>
  <c r="CF4" i="10"/>
  <c r="GW11" i="10"/>
  <c r="AC3" i="10"/>
  <c r="EP11" i="9"/>
  <c r="CF4" i="5"/>
  <c r="IS16" i="5"/>
  <c r="Q41" i="6"/>
  <c r="GT21" i="5"/>
  <c r="AB18" i="5"/>
  <c r="HH18" i="5" s="1"/>
  <c r="IT19" i="5"/>
  <c r="IS18" i="5"/>
  <c r="IT18" i="5"/>
  <c r="IS17" i="5"/>
  <c r="IT17" i="5"/>
  <c r="C13" i="5"/>
  <c r="HF11" i="9"/>
  <c r="HF13" i="5"/>
  <c r="GK11" i="5"/>
  <c r="A13" i="5"/>
  <c r="HF11" i="10"/>
  <c r="M11" i="6"/>
  <c r="N10" i="6"/>
  <c r="O10" i="6"/>
  <c r="GK13" i="10" s="1"/>
  <c r="HF11" i="5"/>
  <c r="L45" i="6"/>
  <c r="L51" i="6" s="1"/>
  <c r="L57" i="6" s="1"/>
  <c r="L47" i="6"/>
  <c r="L53" i="6" s="1"/>
  <c r="L59" i="6" s="1"/>
  <c r="L44" i="6"/>
  <c r="L50" i="6" s="1"/>
  <c r="L46" i="6"/>
  <c r="L52" i="6" s="1"/>
  <c r="L58" i="6" s="1"/>
  <c r="L48" i="6"/>
  <c r="L54" i="6" s="1"/>
  <c r="L60" i="6" s="1"/>
  <c r="C13" i="10"/>
  <c r="GK13" i="9"/>
  <c r="R49" i="6"/>
  <c r="R50" i="6" s="1"/>
  <c r="AC13" i="8"/>
  <c r="P49" i="6"/>
  <c r="P50" i="6" s="1"/>
  <c r="GK11" i="9"/>
  <c r="HF13" i="9"/>
  <c r="AB16" i="5"/>
  <c r="HH16" i="5" s="1"/>
  <c r="AA16" i="5"/>
  <c r="HA16" i="5" s="1"/>
  <c r="GM16" i="5"/>
  <c r="GM21" i="5" s="1"/>
  <c r="AB17" i="5"/>
  <c r="HH17" i="5" s="1"/>
  <c r="AA17" i="5"/>
  <c r="HA17" i="5" s="1"/>
  <c r="AB19" i="5"/>
  <c r="HH19" i="5" s="1"/>
  <c r="AA19" i="5"/>
  <c r="HA19" i="5" s="1"/>
  <c r="D11" i="9" l="1"/>
  <c r="AM8" i="9"/>
  <c r="IS21" i="5"/>
  <c r="HA21" i="5"/>
  <c r="HH21" i="5"/>
  <c r="IT21" i="5"/>
  <c r="Q42" i="6"/>
  <c r="D11" i="5"/>
  <c r="O11" i="6"/>
  <c r="GK13" i="5" s="1"/>
  <c r="N11" i="6"/>
  <c r="M13" i="6"/>
  <c r="AC11" i="8"/>
  <c r="A1" i="8"/>
  <c r="R51" i="6"/>
  <c r="A6" i="8"/>
  <c r="A2" i="8"/>
  <c r="A9" i="8"/>
  <c r="A5" i="8"/>
  <c r="B12" i="8"/>
  <c r="A4" i="8"/>
  <c r="A8" i="8"/>
  <c r="A7" i="8"/>
  <c r="A3" i="8"/>
  <c r="D11" i="8"/>
  <c r="AC13" i="9"/>
  <c r="P51" i="6"/>
  <c r="CI13" i="8" l="1"/>
  <c r="AB21" i="8"/>
  <c r="CI21" i="8" s="1"/>
  <c r="R53" i="6"/>
  <c r="Q43" i="6"/>
  <c r="Q44" i="6" s="1"/>
  <c r="P53" i="6"/>
  <c r="AB21" i="5"/>
  <c r="CI21" i="5" s="1"/>
  <c r="CI13" i="5"/>
  <c r="CI11" i="5"/>
  <c r="ET53" i="5" s="1"/>
  <c r="C6" i="5"/>
  <c r="C9" i="5"/>
  <c r="H61" i="5" s="1"/>
  <c r="H62" i="5" s="1"/>
  <c r="H63" i="5" s="1"/>
  <c r="H64" i="5" s="1"/>
  <c r="H65" i="5" s="1"/>
  <c r="H66" i="5" s="1"/>
  <c r="D12" i="5"/>
  <c r="C1" i="5"/>
  <c r="C2" i="5"/>
  <c r="H57" i="5" s="1"/>
  <c r="C5" i="5"/>
  <c r="C7" i="5"/>
  <c r="H59" i="5" s="1"/>
  <c r="C8" i="5"/>
  <c r="H60" i="5" s="1"/>
  <c r="C3" i="5"/>
  <c r="C4" i="5"/>
  <c r="H58" i="5" s="1"/>
  <c r="AC11" i="9"/>
  <c r="A1" i="9"/>
  <c r="C9" i="8"/>
  <c r="CI11" i="8"/>
  <c r="ET53" i="8" s="1"/>
  <c r="C1" i="8"/>
  <c r="C3" i="8"/>
  <c r="C4" i="8"/>
  <c r="C6" i="8"/>
  <c r="C7" i="8"/>
  <c r="AX53" i="8"/>
  <c r="C2" i="8"/>
  <c r="D12" i="8"/>
  <c r="C8" i="8"/>
  <c r="C5" i="8"/>
  <c r="R52" i="6"/>
  <c r="P52" i="6"/>
  <c r="E60" i="8"/>
  <c r="E61" i="8"/>
  <c r="A9" i="9"/>
  <c r="A5" i="9"/>
  <c r="A8" i="9"/>
  <c r="A4" i="9"/>
  <c r="A7" i="9"/>
  <c r="B12" i="9"/>
  <c r="A3" i="9"/>
  <c r="A2" i="9"/>
  <c r="A6" i="9"/>
  <c r="E57" i="8"/>
  <c r="E58" i="8"/>
  <c r="E59" i="8"/>
  <c r="M14" i="6"/>
  <c r="M15" i="6" s="1"/>
  <c r="M16" i="6" s="1"/>
  <c r="M17" i="6" s="1"/>
  <c r="M19" i="6" s="1"/>
  <c r="M20" i="6" s="1"/>
  <c r="M21" i="6" s="1"/>
  <c r="M22" i="6" s="1"/>
  <c r="M23" i="6" s="1"/>
  <c r="M25" i="6" s="1"/>
  <c r="M26" i="6" s="1"/>
  <c r="M27" i="6" s="1"/>
  <c r="M28" i="6" s="1"/>
  <c r="M29" i="6" s="1"/>
  <c r="M31" i="6" s="1"/>
  <c r="M32" i="6" s="1"/>
  <c r="M33" i="6" s="1"/>
  <c r="M34" i="6" s="1"/>
  <c r="M35" i="6" s="1"/>
  <c r="M38" i="6" s="1"/>
  <c r="M39" i="6" s="1"/>
  <c r="M40" i="6" s="1"/>
  <c r="M41" i="6" s="1"/>
  <c r="M42" i="6" s="1"/>
  <c r="N13" i="6"/>
  <c r="O13" i="6"/>
  <c r="L56" i="6"/>
  <c r="Q45" i="6" l="1"/>
  <c r="CI13" i="9"/>
  <c r="AB21" i="9"/>
  <c r="CI21" i="9" s="1"/>
  <c r="N16" i="6"/>
  <c r="O16" i="6"/>
  <c r="C3" i="9"/>
  <c r="C2" i="9"/>
  <c r="C9" i="9"/>
  <c r="H61" i="8"/>
  <c r="H62" i="8" s="1"/>
  <c r="H63" i="8" s="1"/>
  <c r="H64" i="8" s="1"/>
  <c r="H65" i="8" s="1"/>
  <c r="H66" i="8" s="1"/>
  <c r="C1" i="9"/>
  <c r="C7" i="9"/>
  <c r="C5" i="9"/>
  <c r="CI11" i="9"/>
  <c r="ET53" i="9" s="1"/>
  <c r="C8" i="9"/>
  <c r="C6" i="9"/>
  <c r="D12" i="9"/>
  <c r="C4" i="9"/>
  <c r="H60" i="8"/>
  <c r="H58" i="8"/>
  <c r="H59" i="8"/>
  <c r="AX53" i="9"/>
  <c r="H57" i="8"/>
  <c r="R54" i="6"/>
  <c r="E58" i="9"/>
  <c r="E57" i="9"/>
  <c r="E60" i="9"/>
  <c r="E62" i="8"/>
  <c r="E63" i="8" s="1"/>
  <c r="E64" i="8" s="1"/>
  <c r="E65" i="8" s="1"/>
  <c r="E66" i="8" s="1"/>
  <c r="E59" i="9"/>
  <c r="E61" i="9"/>
  <c r="P54" i="6"/>
  <c r="N14" i="6"/>
  <c r="O14" i="6"/>
  <c r="B16" i="6"/>
  <c r="B13" i="6"/>
  <c r="O15" i="6"/>
  <c r="CF4" i="68" l="1"/>
  <c r="EP11" i="68"/>
  <c r="AC3" i="68"/>
  <c r="GW11" i="68"/>
  <c r="Q46" i="6"/>
  <c r="HF11" i="68"/>
  <c r="HF13" i="68"/>
  <c r="GK11" i="68"/>
  <c r="GK13" i="68"/>
  <c r="C13" i="68"/>
  <c r="A13" i="68"/>
  <c r="H61" i="9"/>
  <c r="H62" i="9" s="1"/>
  <c r="H63" i="9" s="1"/>
  <c r="H64" i="9" s="1"/>
  <c r="H65" i="9" s="1"/>
  <c r="H66" i="9" s="1"/>
  <c r="H57" i="9"/>
  <c r="H60" i="9"/>
  <c r="H58" i="9"/>
  <c r="N15" i="6"/>
  <c r="H59" i="9"/>
  <c r="R55" i="6"/>
  <c r="R56" i="6" s="1"/>
  <c r="P55" i="6"/>
  <c r="P56" i="6" s="1"/>
  <c r="E62" i="9"/>
  <c r="E63" i="9" s="1"/>
  <c r="E64" i="9" s="1"/>
  <c r="E65" i="9" s="1"/>
  <c r="E66" i="9" s="1"/>
  <c r="B14" i="6"/>
  <c r="CF4" i="30" s="1"/>
  <c r="N17" i="6"/>
  <c r="O17" i="6"/>
  <c r="EP11" i="30" l="1"/>
  <c r="AC3" i="30"/>
  <c r="GW11" i="30"/>
  <c r="Q47" i="6"/>
  <c r="AM8" i="68"/>
  <c r="D11" i="68"/>
  <c r="AB21" i="68" s="1"/>
  <c r="CI21" i="68" s="1"/>
  <c r="HF11" i="30"/>
  <c r="R57" i="6"/>
  <c r="P57" i="6"/>
  <c r="B15" i="6"/>
  <c r="GW11" i="31" l="1"/>
  <c r="CF4" i="31"/>
  <c r="R59" i="6"/>
  <c r="Q48" i="6"/>
  <c r="P59" i="6"/>
  <c r="C3" i="68"/>
  <c r="D12" i="68"/>
  <c r="C5" i="68"/>
  <c r="C7" i="68"/>
  <c r="CI13" i="68"/>
  <c r="C2" i="68"/>
  <c r="CI11" i="68"/>
  <c r="ET53" i="68" s="1"/>
  <c r="C8" i="68"/>
  <c r="C1" i="68"/>
  <c r="C9" i="68"/>
  <c r="C4" i="68"/>
  <c r="C6" i="68"/>
  <c r="GK13" i="28"/>
  <c r="HF11" i="31"/>
  <c r="C13" i="28"/>
  <c r="DX8" i="28" s="1"/>
  <c r="C13" i="30"/>
  <c r="DX8" i="30" s="1"/>
  <c r="R58" i="6"/>
  <c r="P58" i="6"/>
  <c r="B17" i="6"/>
  <c r="GW11" i="29" s="1"/>
  <c r="N19" i="6"/>
  <c r="O19" i="6"/>
  <c r="Q49" i="6" l="1"/>
  <c r="Q50" i="6" s="1"/>
  <c r="D20" i="68"/>
  <c r="H60" i="68"/>
  <c r="H59" i="68"/>
  <c r="H61" i="68"/>
  <c r="H62" i="68" s="1"/>
  <c r="H63" i="68" s="1"/>
  <c r="H64" i="68" s="1"/>
  <c r="H65" i="68" s="1"/>
  <c r="H66" i="68" s="1"/>
  <c r="H57" i="68"/>
  <c r="H58" i="68"/>
  <c r="C13" i="31"/>
  <c r="GK13" i="29"/>
  <c r="C13" i="29"/>
  <c r="O22" i="6"/>
  <c r="N22" i="6"/>
  <c r="R60" i="6"/>
  <c r="P60" i="6"/>
  <c r="N23" i="6"/>
  <c r="O23" i="6"/>
  <c r="O20" i="6"/>
  <c r="N20" i="6"/>
  <c r="EP11" i="28" l="1"/>
  <c r="EP11" i="29"/>
  <c r="EP11" i="31"/>
  <c r="AC3" i="29"/>
  <c r="AC3" i="31"/>
  <c r="CF4" i="29"/>
  <c r="AC3" i="28"/>
  <c r="GW11" i="28"/>
  <c r="CF4" i="28"/>
  <c r="Q51" i="6"/>
  <c r="D19" i="68"/>
  <c r="HF11" i="29"/>
  <c r="HF11" i="28"/>
  <c r="N38" i="6"/>
  <c r="O38" i="6"/>
  <c r="GK13" i="31"/>
  <c r="GK13" i="30"/>
  <c r="B22" i="6"/>
  <c r="B19" i="6"/>
  <c r="O21" i="6"/>
  <c r="N21" i="6"/>
  <c r="GW11" i="13" l="1"/>
  <c r="EP11" i="13"/>
  <c r="CF4" i="13"/>
  <c r="AC3" i="13"/>
  <c r="Q52" i="6"/>
  <c r="HF11" i="13"/>
  <c r="N39" i="6"/>
  <c r="O39" i="6"/>
  <c r="B20" i="6"/>
  <c r="GW11" i="69" l="1"/>
  <c r="CF4" i="69"/>
  <c r="AC3" i="69"/>
  <c r="EP11" i="69"/>
  <c r="Q53" i="6"/>
  <c r="C13" i="69"/>
  <c r="DX8" i="69" s="1"/>
  <c r="GK11" i="69"/>
  <c r="HF13" i="69"/>
  <c r="A13" i="69"/>
  <c r="GK13" i="69"/>
  <c r="HF11" i="69"/>
  <c r="N40" i="6"/>
  <c r="O40" i="6"/>
  <c r="O41" i="6"/>
  <c r="N41" i="6"/>
  <c r="B21" i="6"/>
  <c r="DR51" i="37"/>
  <c r="CX39" i="37"/>
  <c r="DB6" i="37"/>
  <c r="DH29" i="37"/>
  <c r="EJ53" i="37"/>
  <c r="AY15" i="93"/>
  <c r="DB40" i="37"/>
  <c r="DR50" i="37"/>
  <c r="CX32" i="37"/>
  <c r="DL7" i="37"/>
  <c r="DH19" i="37"/>
  <c r="EC11" i="37"/>
  <c r="DV40" i="37"/>
  <c r="DL39" i="37"/>
  <c r="DH7" i="37"/>
  <c r="CR18" i="37"/>
  <c r="EJ52" i="37"/>
  <c r="CN41" i="37"/>
  <c r="EJ28" i="37"/>
  <c r="CR42" i="37"/>
  <c r="CN42" i="37"/>
  <c r="CD20" i="37"/>
  <c r="EC44" i="37"/>
  <c r="CR39" i="37"/>
  <c r="CR19" i="37"/>
  <c r="DB31" i="37"/>
  <c r="EQ8" i="37"/>
  <c r="EC8" i="37"/>
  <c r="DV42" i="37"/>
  <c r="DL42" i="37"/>
  <c r="DR29" i="37"/>
  <c r="DL10" i="37"/>
  <c r="EJ44" i="37"/>
  <c r="DH21" i="37"/>
  <c r="EQ31" i="37"/>
  <c r="CH53" i="37"/>
  <c r="EC55" i="37"/>
  <c r="CN53" i="37"/>
  <c r="EC30" i="37"/>
  <c r="DR53" i="37"/>
  <c r="DV41" i="37"/>
  <c r="CN8" i="37"/>
  <c r="EC28" i="37"/>
  <c r="DL6" i="37"/>
  <c r="CN10" i="37"/>
  <c r="CR53" i="37"/>
  <c r="CR32" i="37"/>
  <c r="EJ31" i="37"/>
  <c r="EC33" i="37"/>
  <c r="CH19" i="37"/>
  <c r="DB43" i="37"/>
  <c r="CD40" i="37"/>
  <c r="DV33" i="37"/>
  <c r="DH53" i="37"/>
  <c r="EJ18" i="37"/>
  <c r="EC7" i="37"/>
  <c r="DB18" i="37"/>
  <c r="BX8" i="37"/>
  <c r="EQ40" i="37"/>
  <c r="CD42" i="37"/>
  <c r="EC9" i="37"/>
  <c r="EJ22" i="37"/>
  <c r="DR54" i="37"/>
  <c r="DH31" i="37"/>
  <c r="EC10" i="37"/>
  <c r="BX54" i="37"/>
  <c r="BX30" i="37"/>
  <c r="DL31" i="37"/>
  <c r="EC52" i="37"/>
  <c r="EC39" i="37"/>
  <c r="DV43" i="37"/>
  <c r="EJ32" i="37"/>
  <c r="CX43" i="37"/>
  <c r="EC54" i="37"/>
  <c r="CN9" i="37"/>
  <c r="DR21" i="37"/>
  <c r="CH40" i="37"/>
  <c r="DV54" i="37"/>
  <c r="DH32" i="37"/>
  <c r="CX42" i="37"/>
  <c r="EQ29" i="37"/>
  <c r="BX20" i="37"/>
  <c r="CR50" i="37"/>
  <c r="CD29" i="37"/>
  <c r="CR43" i="37"/>
  <c r="BX43" i="37"/>
  <c r="CH21" i="37"/>
  <c r="EJ42" i="37"/>
  <c r="EJ7" i="37"/>
  <c r="DR20" i="37"/>
  <c r="EJ17" i="37"/>
  <c r="DB51" i="37"/>
  <c r="EJ55" i="37"/>
  <c r="DV32" i="37"/>
  <c r="DH17" i="37"/>
  <c r="CD8" i="37"/>
  <c r="CN18" i="37"/>
  <c r="DH8" i="37"/>
  <c r="CR54" i="37"/>
  <c r="DL52" i="37"/>
  <c r="CD9" i="37"/>
  <c r="DV50" i="37"/>
  <c r="CX20" i="37"/>
  <c r="CD10" i="37"/>
  <c r="CX53" i="37"/>
  <c r="CD28" i="37"/>
  <c r="DR18" i="37"/>
  <c r="EC32" i="37"/>
  <c r="CR29" i="37"/>
  <c r="CH52" i="37"/>
  <c r="BX40" i="37"/>
  <c r="CR51" i="37"/>
  <c r="EJ51" i="37"/>
  <c r="DB50" i="37"/>
  <c r="BX7" i="37"/>
  <c r="EQ32" i="37"/>
  <c r="DR19" i="37"/>
  <c r="DH51" i="37"/>
  <c r="CX28" i="37"/>
  <c r="DR8" i="37"/>
  <c r="DL40" i="37"/>
  <c r="DB8" i="37"/>
  <c r="DH41" i="37"/>
  <c r="EC6" i="37"/>
  <c r="DV11" i="37"/>
  <c r="CD31" i="37"/>
  <c r="DL50" i="37"/>
  <c r="DB9" i="37"/>
  <c r="EC20" i="37"/>
  <c r="CX50" i="37"/>
  <c r="EC43" i="37"/>
  <c r="DV28" i="37"/>
  <c r="DB19" i="37"/>
  <c r="DB52" i="37"/>
  <c r="CH17" i="37"/>
  <c r="CN20" i="37"/>
  <c r="CH8" i="37"/>
  <c r="BA15" i="93"/>
  <c r="Z25" i="93"/>
  <c r="DV9" i="37"/>
  <c r="BX41" i="37"/>
  <c r="CN6" i="37"/>
  <c r="DH10" i="37"/>
  <c r="DB42" i="37"/>
  <c r="EJ50" i="37"/>
  <c r="CD41" i="37"/>
  <c r="DL30" i="37"/>
  <c r="CD6" i="37"/>
  <c r="CH54" i="37"/>
  <c r="DV51" i="37"/>
  <c r="DV29" i="37"/>
  <c r="DH30" i="37"/>
  <c r="CH28" i="37"/>
  <c r="CX19" i="37"/>
  <c r="BX32" i="37"/>
  <c r="CN43" i="37"/>
  <c r="EC51" i="37"/>
  <c r="CX8" i="37"/>
  <c r="DL43" i="37"/>
  <c r="CH9" i="37"/>
  <c r="CH50" i="37"/>
  <c r="DV44" i="37"/>
  <c r="EJ40" i="37"/>
  <c r="DH9" i="37"/>
  <c r="CX40" i="37"/>
  <c r="CN19" i="37"/>
  <c r="CR41" i="37"/>
  <c r="DV21" i="37"/>
  <c r="CN54" i="37"/>
  <c r="CD18" i="37"/>
  <c r="EQ30" i="37"/>
  <c r="EQ54" i="37"/>
  <c r="DV31" i="37"/>
  <c r="DB7" i="37"/>
  <c r="EQ43" i="37"/>
  <c r="EC21" i="37"/>
  <c r="DR43" i="37"/>
  <c r="CH31" i="37"/>
  <c r="BX31" i="37"/>
  <c r="CR31" i="37"/>
  <c r="EJ41" i="37"/>
  <c r="BX39" i="37"/>
  <c r="BX9" i="37"/>
  <c r="DL9" i="37"/>
  <c r="EQ41" i="37"/>
  <c r="CR28" i="37"/>
  <c r="DV52" i="37"/>
  <c r="CD30" i="37"/>
  <c r="DV19" i="37"/>
  <c r="CH41" i="37"/>
  <c r="DR42" i="37"/>
  <c r="DL18" i="37"/>
  <c r="CN50" i="37"/>
  <c r="EC31" i="37"/>
  <c r="DH28" i="37"/>
  <c r="BX28" i="37"/>
  <c r="EQ21" i="37"/>
  <c r="EC22" i="37"/>
  <c r="CH20" i="37"/>
  <c r="BX50" i="37"/>
  <c r="CH43" i="37"/>
  <c r="CN29" i="37"/>
  <c r="DL21" i="37"/>
  <c r="CD39" i="37"/>
  <c r="CD50" i="37"/>
  <c r="CX30" i="37"/>
  <c r="CX17" i="37"/>
  <c r="DR7" i="37"/>
  <c r="EC40" i="37"/>
  <c r="DH52" i="37"/>
  <c r="EQ10" i="37"/>
  <c r="BX6" i="37"/>
  <c r="CH32" i="37"/>
  <c r="DB32" i="37"/>
  <c r="DH50" i="37"/>
  <c r="CH18" i="37"/>
  <c r="CR20" i="37"/>
  <c r="CX6" i="37"/>
  <c r="DR9" i="37"/>
  <c r="CD52" i="37"/>
  <c r="CR17" i="37"/>
  <c r="CH6" i="37"/>
  <c r="BX19" i="37"/>
  <c r="EJ6" i="37"/>
  <c r="DV6" i="37"/>
  <c r="CH7" i="37"/>
  <c r="EJ21" i="37"/>
  <c r="EC18" i="37"/>
  <c r="CX10" i="37"/>
  <c r="DB28" i="37"/>
  <c r="EQ22" i="37"/>
  <c r="DV53" i="37"/>
  <c r="EQ42" i="37"/>
  <c r="DR52" i="37"/>
  <c r="EJ30" i="37"/>
  <c r="DH18" i="37"/>
  <c r="CN39" i="37"/>
  <c r="CR10" i="37"/>
  <c r="CD43" i="37"/>
  <c r="DR30" i="37"/>
  <c r="CR52" i="37"/>
  <c r="EJ10" i="37"/>
  <c r="DB21" i="37"/>
  <c r="DR40" i="37"/>
  <c r="EC17" i="37"/>
  <c r="EC19" i="37"/>
  <c r="CD19" i="37"/>
  <c r="DR6" i="37"/>
  <c r="CX51" i="37"/>
  <c r="DR10" i="37"/>
  <c r="CR9" i="37"/>
  <c r="DB20" i="37"/>
  <c r="EQ11" i="37"/>
  <c r="CN32" i="37"/>
  <c r="EQ28" i="37"/>
  <c r="EQ33" i="37"/>
  <c r="EQ50" i="37"/>
  <c r="EJ11" i="37"/>
  <c r="DH54" i="37"/>
  <c r="CH10" i="37"/>
  <c r="CH42" i="37"/>
  <c r="CH29" i="37"/>
  <c r="CX18" i="37"/>
  <c r="EQ53" i="37"/>
  <c r="DB10" i="37"/>
  <c r="CD21" i="37"/>
  <c r="BX52" i="37"/>
  <c r="CN51" i="37"/>
  <c r="BX21" i="37"/>
  <c r="CD53" i="37"/>
  <c r="EJ39" i="37"/>
  <c r="DB53" i="37"/>
  <c r="EQ51" i="37"/>
  <c r="DH43" i="37"/>
  <c r="CR6" i="37"/>
  <c r="CR40" i="37"/>
  <c r="DL19" i="37"/>
  <c r="EQ55" i="37"/>
  <c r="CD17" i="37"/>
  <c r="DR28" i="37"/>
  <c r="CR21" i="37"/>
  <c r="EJ29" i="37"/>
  <c r="DB17" i="37"/>
  <c r="EQ20" i="37"/>
  <c r="DH6" i="37"/>
  <c r="EJ20" i="37"/>
  <c r="DL54" i="37"/>
  <c r="DV55" i="37"/>
  <c r="CR30" i="37"/>
  <c r="EJ19" i="37"/>
  <c r="BX17" i="37"/>
  <c r="CN52" i="37"/>
  <c r="CN17" i="37"/>
  <c r="BX42" i="37"/>
  <c r="EQ52" i="37"/>
  <c r="EC29" i="37"/>
  <c r="EQ7" i="37"/>
  <c r="CX7" i="37"/>
  <c r="DH20" i="37"/>
  <c r="CX21" i="37"/>
  <c r="CX9" i="37"/>
  <c r="EJ43" i="37"/>
  <c r="CX31" i="37"/>
  <c r="EJ8" i="37"/>
  <c r="CR7" i="37"/>
  <c r="DR31" i="37"/>
  <c r="DV8" i="37"/>
  <c r="EC42" i="37"/>
  <c r="DB39" i="37"/>
  <c r="CN28" i="37"/>
  <c r="CD54" i="37"/>
  <c r="CX41" i="37"/>
  <c r="EQ17" i="37"/>
  <c r="BX29" i="37"/>
  <c r="CD51" i="37"/>
  <c r="DB54" i="37"/>
  <c r="BX51" i="37"/>
  <c r="EQ6" i="37"/>
  <c r="EQ19" i="37"/>
  <c r="DR39" i="37"/>
  <c r="EQ44" i="37"/>
  <c r="DL32" i="37"/>
  <c r="BX10" i="37"/>
  <c r="DB30" i="37"/>
  <c r="DL51" i="37"/>
  <c r="BX18" i="37"/>
  <c r="DB41" i="37"/>
  <c r="DL17" i="37"/>
  <c r="DV7" i="37"/>
  <c r="DV20" i="37"/>
  <c r="DH42" i="37"/>
  <c r="DV22" i="37"/>
  <c r="CR8" i="37"/>
  <c r="DV30" i="37"/>
  <c r="DV39" i="37"/>
  <c r="CN30" i="37"/>
  <c r="EC41" i="37"/>
  <c r="EQ39" i="37"/>
  <c r="DL53" i="37"/>
  <c r="EQ18" i="37"/>
  <c r="DL28" i="37"/>
  <c r="CN21" i="37"/>
  <c r="DR17" i="37"/>
  <c r="DR32" i="37"/>
  <c r="DL8" i="37"/>
  <c r="DH39" i="37"/>
  <c r="EC53" i="37"/>
  <c r="EJ9" i="37"/>
  <c r="CX29" i="37"/>
  <c r="CN7" i="37"/>
  <c r="DL20" i="37"/>
  <c r="CD32" i="37"/>
  <c r="AB25" i="93"/>
  <c r="EC50" i="37"/>
  <c r="EJ33" i="37"/>
  <c r="DR41" i="37"/>
  <c r="CX54" i="37"/>
  <c r="CN40" i="37"/>
  <c r="EJ54" i="37"/>
  <c r="CD7" i="37"/>
  <c r="DV18" i="37"/>
  <c r="CH30" i="37"/>
  <c r="DV10" i="37"/>
  <c r="BX53" i="37"/>
  <c r="CX52" i="37"/>
  <c r="CH39" i="37"/>
  <c r="DH40" i="37"/>
  <c r="DB29" i="37"/>
  <c r="DV17" i="37"/>
  <c r="EQ9" i="37"/>
  <c r="DL29" i="37"/>
  <c r="CN31" i="37"/>
  <c r="DL41" i="37"/>
  <c r="CH51" i="37"/>
  <c r="CB7" i="37" l="1"/>
  <c r="CL50" i="37"/>
  <c r="CV39" i="37"/>
  <c r="DP9" i="37"/>
  <c r="CV19" i="37"/>
  <c r="CL51" i="37"/>
  <c r="DP29" i="37"/>
  <c r="DF50" i="37"/>
  <c r="CB6" i="37"/>
  <c r="CB9" i="37"/>
  <c r="CV32" i="37"/>
  <c r="DP41" i="37"/>
  <c r="CL9" i="37"/>
  <c r="DF30" i="37"/>
  <c r="CL8" i="37"/>
  <c r="CB39" i="37"/>
  <c r="CV53" i="37"/>
  <c r="DP43" i="37"/>
  <c r="CB10" i="37"/>
  <c r="DF29" i="37"/>
  <c r="DP31" i="37"/>
  <c r="CV51" i="37"/>
  <c r="DP19" i="37"/>
  <c r="DP8" i="37"/>
  <c r="DP32" i="37"/>
  <c r="CB30" i="37"/>
  <c r="CB40" i="37"/>
  <c r="CV28" i="37"/>
  <c r="CL17" i="37"/>
  <c r="CV42" i="37"/>
  <c r="CV31" i="37"/>
  <c r="DP6" i="37"/>
  <c r="CL39" i="37"/>
  <c r="CB54" i="37"/>
  <c r="CL52" i="37"/>
  <c r="CV40" i="37"/>
  <c r="DF52" i="37"/>
  <c r="CB31" i="37"/>
  <c r="DF28" i="37"/>
  <c r="CV29" i="37"/>
  <c r="CV6" i="37"/>
  <c r="DF19" i="37"/>
  <c r="CL31" i="37"/>
  <c r="DF20" i="37"/>
  <c r="CL21" i="37"/>
  <c r="CB32" i="37"/>
  <c r="CB53" i="37"/>
  <c r="DP28" i="37"/>
  <c r="CV9" i="37"/>
  <c r="CB42" i="37"/>
  <c r="CB43" i="37"/>
  <c r="CV18" i="37"/>
  <c r="CV43" i="37"/>
  <c r="CL28" i="37"/>
  <c r="CB51" i="37"/>
  <c r="DP21" i="37"/>
  <c r="CL30" i="37"/>
  <c r="DF53" i="37"/>
  <c r="DP53" i="37"/>
  <c r="DF54" i="37"/>
  <c r="CL7" i="37"/>
  <c r="DP39" i="37"/>
  <c r="DF7" i="37"/>
  <c r="CB17" i="37"/>
  <c r="CV50" i="37"/>
  <c r="CL43" i="37"/>
  <c r="DF9" i="37"/>
  <c r="CB20" i="37"/>
  <c r="CB29" i="37"/>
  <c r="CB50" i="37"/>
  <c r="CB21" i="37"/>
  <c r="DP50" i="37"/>
  <c r="CL53" i="37"/>
  <c r="CV30" i="37"/>
  <c r="CL54" i="37"/>
  <c r="CL20" i="37"/>
  <c r="CB8" i="37"/>
  <c r="CB19" i="37"/>
  <c r="DF18" i="37"/>
  <c r="CL6" i="37"/>
  <c r="CB52" i="37"/>
  <c r="DP7" i="37"/>
  <c r="DP54" i="37"/>
  <c r="DP30" i="37"/>
  <c r="CV17" i="37"/>
  <c r="DP52" i="37"/>
  <c r="CV8" i="37"/>
  <c r="DF21" i="37"/>
  <c r="CB28" i="37"/>
  <c r="CV54" i="37"/>
  <c r="DF10" i="37"/>
  <c r="DP10" i="37"/>
  <c r="CL40" i="37"/>
  <c r="DF39" i="37"/>
  <c r="DF8" i="37"/>
  <c r="DF40" i="37"/>
  <c r="CV41" i="37"/>
  <c r="CV52" i="37"/>
  <c r="DF42" i="37"/>
  <c r="DP40" i="37"/>
  <c r="AZ15" i="93"/>
  <c r="AY14" i="93"/>
  <c r="BC14" i="93" s="1"/>
  <c r="BF14" i="93" s="1"/>
  <c r="DP42" i="37"/>
  <c r="DF17" i="37"/>
  <c r="CV20" i="37"/>
  <c r="CL29" i="37"/>
  <c r="DP18" i="37"/>
  <c r="DP20" i="37"/>
  <c r="DF43" i="37"/>
  <c r="CL18" i="37"/>
  <c r="CL42" i="37"/>
  <c r="DP17" i="37"/>
  <c r="CV10" i="37"/>
  <c r="CV21" i="37"/>
  <c r="CB41" i="37"/>
  <c r="CV7" i="37"/>
  <c r="CL19" i="37"/>
  <c r="CL10" i="37"/>
  <c r="DF41" i="37"/>
  <c r="DF6" i="37"/>
  <c r="CL41" i="37"/>
  <c r="DF32" i="37"/>
  <c r="CB18" i="37"/>
  <c r="DF31" i="37"/>
  <c r="Z24" i="93"/>
  <c r="BC24" i="93" s="1"/>
  <c r="BF24" i="93" s="1"/>
  <c r="AA25" i="93"/>
  <c r="CL32" i="37"/>
  <c r="DF51" i="37"/>
  <c r="DP51" i="37"/>
  <c r="EP11" i="14"/>
  <c r="GW11" i="15"/>
  <c r="AC3" i="15"/>
  <c r="EP11" i="15"/>
  <c r="GW11" i="14"/>
  <c r="AC3" i="14"/>
  <c r="CF4" i="15"/>
  <c r="CF4" i="14"/>
  <c r="Q54" i="6"/>
  <c r="D11" i="69"/>
  <c r="AB21" i="69" s="1"/>
  <c r="CI21" i="69" s="1"/>
  <c r="C13" i="14"/>
  <c r="GK13" i="14"/>
  <c r="HF11" i="14"/>
  <c r="HF11" i="15"/>
  <c r="GK13" i="15"/>
  <c r="M44" i="6"/>
  <c r="N42" i="6"/>
  <c r="O42" i="6"/>
  <c r="GK13" i="13"/>
  <c r="B23" i="6"/>
  <c r="EP11" i="16" s="1"/>
  <c r="N25" i="6"/>
  <c r="O25" i="6"/>
  <c r="BY36" i="37"/>
  <c r="BH22" i="93" l="1"/>
  <c r="BH18" i="93"/>
  <c r="BE22" i="93"/>
  <c r="BE18" i="93"/>
  <c r="BH8" i="93"/>
  <c r="BE10" i="93"/>
  <c r="BE12" i="93"/>
  <c r="BE16" i="93"/>
  <c r="BE6" i="93"/>
  <c r="BE20" i="93"/>
  <c r="BE14" i="93"/>
  <c r="BH6" i="93"/>
  <c r="BH20" i="93"/>
  <c r="BH12" i="93"/>
  <c r="BH16" i="93"/>
  <c r="BH14" i="93"/>
  <c r="BH10" i="93"/>
  <c r="BH24" i="93"/>
  <c r="BE8" i="93"/>
  <c r="BE24" i="93"/>
  <c r="GW11" i="16"/>
  <c r="CF4" i="16"/>
  <c r="Q55" i="6"/>
  <c r="Q56" i="6" s="1"/>
  <c r="C2" i="69"/>
  <c r="D12" i="69"/>
  <c r="C5" i="69"/>
  <c r="C4" i="69"/>
  <c r="C7" i="69"/>
  <c r="C3" i="69"/>
  <c r="CI11" i="69"/>
  <c r="ET53" i="69" s="1"/>
  <c r="C8" i="69"/>
  <c r="C1" i="69"/>
  <c r="C9" i="69"/>
  <c r="CI13" i="69"/>
  <c r="C6" i="69"/>
  <c r="HF11" i="16"/>
  <c r="M45" i="6"/>
  <c r="M46" i="6" s="1"/>
  <c r="M47" i="6" s="1"/>
  <c r="M48" i="6" s="1"/>
  <c r="M50" i="6" s="1"/>
  <c r="M51" i="6" s="1"/>
  <c r="M52" i="6" s="1"/>
  <c r="M53" i="6" s="1"/>
  <c r="M54" i="6" s="1"/>
  <c r="M56" i="6" s="1"/>
  <c r="M57" i="6" s="1"/>
  <c r="M58" i="6" s="1"/>
  <c r="M59" i="6" s="1"/>
  <c r="M60" i="6" s="1"/>
  <c r="N44" i="6"/>
  <c r="O44" i="6"/>
  <c r="O28" i="6"/>
  <c r="N28" i="6"/>
  <c r="GK13" i="16"/>
  <c r="N29" i="6"/>
  <c r="O29" i="6"/>
  <c r="N26" i="6"/>
  <c r="O26" i="6"/>
  <c r="Q57" i="6" l="1"/>
  <c r="D20" i="69"/>
  <c r="H60" i="69"/>
  <c r="H58" i="69"/>
  <c r="H59" i="69"/>
  <c r="H57" i="69"/>
  <c r="H61" i="69"/>
  <c r="H62" i="69" s="1"/>
  <c r="H63" i="69" s="1"/>
  <c r="H64" i="69" s="1"/>
  <c r="H65" i="69" s="1"/>
  <c r="H66" i="69" s="1"/>
  <c r="N45" i="6"/>
  <c r="O45" i="6"/>
  <c r="O27" i="6"/>
  <c r="N27" i="6"/>
  <c r="Q58" i="6" l="1"/>
  <c r="O46" i="6"/>
  <c r="N46" i="6"/>
  <c r="O47" i="6"/>
  <c r="N47" i="6"/>
  <c r="B28" i="6"/>
  <c r="B25" i="6"/>
  <c r="AC3" i="17" l="1"/>
  <c r="EP11" i="17"/>
  <c r="Q59" i="6"/>
  <c r="N48" i="6"/>
  <c r="O48" i="6"/>
  <c r="GK13" i="17"/>
  <c r="B26" i="6"/>
  <c r="BY3" i="37"/>
  <c r="EP11" i="19" l="1"/>
  <c r="Q60" i="6"/>
  <c r="B27" i="6"/>
  <c r="AC3" i="16" l="1"/>
  <c r="CF4" i="19"/>
  <c r="EP11" i="20"/>
  <c r="GW11" i="19"/>
  <c r="CF4" i="20"/>
  <c r="AC3" i="19"/>
  <c r="GW11" i="17"/>
  <c r="AC3" i="70"/>
  <c r="GW11" i="20"/>
  <c r="CF4" i="17"/>
  <c r="AC3" i="20"/>
  <c r="EP11" i="70"/>
  <c r="CF4" i="70"/>
  <c r="GW11" i="70"/>
  <c r="B29" i="6"/>
  <c r="CF4" i="21" s="1"/>
  <c r="AC3" i="21" l="1"/>
  <c r="EP11" i="21"/>
  <c r="GW11" i="21"/>
  <c r="N31" i="6"/>
  <c r="O31" i="6"/>
  <c r="N34" i="6" l="1"/>
  <c r="O34" i="6"/>
  <c r="N33" i="6"/>
  <c r="O33" i="6"/>
  <c r="N32" i="6"/>
  <c r="O32" i="6"/>
  <c r="O35" i="6" l="1"/>
  <c r="N35" i="6"/>
  <c r="O50" i="6" l="1"/>
  <c r="N50" i="6"/>
  <c r="N52" i="6" l="1"/>
  <c r="O52" i="6"/>
  <c r="N53" i="6"/>
  <c r="O53" i="6"/>
  <c r="O51" i="6"/>
  <c r="N51" i="6"/>
  <c r="O54" i="6" l="1"/>
  <c r="N54" i="6"/>
  <c r="N56" i="6" l="1"/>
  <c r="O56" i="6"/>
  <c r="O58" i="6" l="1"/>
  <c r="N58" i="6"/>
  <c r="N59" i="6"/>
  <c r="O59" i="6"/>
  <c r="O57" i="6"/>
  <c r="N57" i="6"/>
  <c r="B31" i="6" l="1"/>
  <c r="N60" i="6"/>
  <c r="O60" i="6"/>
  <c r="CF4" i="23" l="1"/>
  <c r="AC3" i="23"/>
  <c r="GW11" i="23"/>
  <c r="EP11" i="23"/>
  <c r="GK11" i="70"/>
  <c r="C13" i="70"/>
  <c r="GK13" i="70"/>
  <c r="A13" i="70"/>
  <c r="HF11" i="70"/>
  <c r="HF13" i="70"/>
  <c r="HF11" i="17"/>
  <c r="HF11" i="19"/>
  <c r="HF11" i="21"/>
  <c r="HF11" i="20"/>
  <c r="HF11" i="23"/>
  <c r="GK13" i="21"/>
  <c r="GK13" i="20"/>
  <c r="GK13" i="23"/>
  <c r="GK13" i="19"/>
  <c r="B32" i="6"/>
  <c r="GK13" i="24" s="1"/>
  <c r="BY47" i="37"/>
  <c r="BY14" i="37"/>
  <c r="BY25" i="37"/>
  <c r="EP11" i="24" l="1"/>
  <c r="CF4" i="24"/>
  <c r="GW11" i="24"/>
  <c r="AC3" i="24"/>
  <c r="AM8" i="70"/>
  <c r="D11" i="70"/>
  <c r="AB21" i="70" s="1"/>
  <c r="CI21" i="70" s="1"/>
  <c r="HF11" i="24"/>
  <c r="B33" i="6"/>
  <c r="AC3" i="25" s="1"/>
  <c r="HF11" i="26" l="1"/>
  <c r="HF11" i="25"/>
  <c r="EP11" i="25"/>
  <c r="GW11" i="25"/>
  <c r="GW11" i="26"/>
  <c r="CF4" i="26"/>
  <c r="AC3" i="26"/>
  <c r="CF4" i="25"/>
  <c r="EP11" i="26"/>
  <c r="C1" i="70"/>
  <c r="C6" i="70"/>
  <c r="D12" i="70"/>
  <c r="C5" i="70"/>
  <c r="CI11" i="70"/>
  <c r="ET53" i="70" s="1"/>
  <c r="C7" i="70"/>
  <c r="C3" i="70"/>
  <c r="C9" i="70"/>
  <c r="CI13" i="70"/>
  <c r="C2" i="70"/>
  <c r="C8" i="70"/>
  <c r="C4" i="70"/>
  <c r="GK13" i="25"/>
  <c r="B35" i="6"/>
  <c r="GK13" i="26" l="1"/>
  <c r="AC3" i="81"/>
  <c r="A13" i="81"/>
  <c r="EP11" i="76"/>
  <c r="GK13" i="75"/>
  <c r="CF4" i="72"/>
  <c r="GW11" i="72"/>
  <c r="C13" i="77"/>
  <c r="DX8" i="77" s="1"/>
  <c r="AC3" i="82"/>
  <c r="A13" i="79"/>
  <c r="C13" i="80"/>
  <c r="DX8" i="80" s="1"/>
  <c r="GK11" i="75"/>
  <c r="GK13" i="79"/>
  <c r="GK11" i="82"/>
  <c r="HF11" i="76"/>
  <c r="A13" i="75"/>
  <c r="HF13" i="75"/>
  <c r="EP11" i="80"/>
  <c r="EP11" i="71"/>
  <c r="HF11" i="81"/>
  <c r="C13" i="82"/>
  <c r="EP11" i="75"/>
  <c r="HF11" i="80"/>
  <c r="GW11" i="74"/>
  <c r="GK13" i="82"/>
  <c r="HF13" i="76"/>
  <c r="HF11" i="74"/>
  <c r="GK11" i="71"/>
  <c r="A13" i="72"/>
  <c r="AM8" i="72" s="1"/>
  <c r="GW11" i="79"/>
  <c r="GK11" i="80"/>
  <c r="HF13" i="74"/>
  <c r="GK13" i="78"/>
  <c r="GW11" i="77"/>
  <c r="C13" i="75"/>
  <c r="DX8" i="75" s="1"/>
  <c r="GW11" i="81"/>
  <c r="GK13" i="74"/>
  <c r="AC3" i="80"/>
  <c r="CF4" i="77"/>
  <c r="EP11" i="74"/>
  <c r="GK11" i="74"/>
  <c r="GK13" i="81"/>
  <c r="HF13" i="71"/>
  <c r="CF4" i="79"/>
  <c r="HF13" i="77"/>
  <c r="HF13" i="80"/>
  <c r="GW11" i="76"/>
  <c r="HF13" i="82"/>
  <c r="GK11" i="79"/>
  <c r="CF4" i="76"/>
  <c r="GK11" i="81"/>
  <c r="A13" i="74"/>
  <c r="C13" i="79"/>
  <c r="A13" i="82"/>
  <c r="EP11" i="82"/>
  <c r="A13" i="77"/>
  <c r="HF11" i="72"/>
  <c r="GK13" i="72"/>
  <c r="CF4" i="71"/>
  <c r="CF4" i="74"/>
  <c r="C13" i="81"/>
  <c r="GK13" i="77"/>
  <c r="AC3" i="74"/>
  <c r="CF4" i="75"/>
  <c r="EP11" i="81"/>
  <c r="GW11" i="78"/>
  <c r="CF4" i="78"/>
  <c r="AC3" i="77"/>
  <c r="AC3" i="75"/>
  <c r="A13" i="78"/>
  <c r="HF11" i="75"/>
  <c r="AC3" i="79"/>
  <c r="C13" i="72"/>
  <c r="CF4" i="82"/>
  <c r="HF11" i="82"/>
  <c r="GK13" i="80"/>
  <c r="GK13" i="76"/>
  <c r="GW11" i="71"/>
  <c r="EP11" i="78"/>
  <c r="GK11" i="77"/>
  <c r="GW11" i="80"/>
  <c r="EP11" i="77"/>
  <c r="CF4" i="80"/>
  <c r="HF11" i="79"/>
  <c r="GW11" i="75"/>
  <c r="EP11" i="72"/>
  <c r="D20" i="70"/>
  <c r="GK11" i="72"/>
  <c r="H58" i="70"/>
  <c r="H61" i="70"/>
  <c r="H62" i="70" s="1"/>
  <c r="H63" i="70" s="1"/>
  <c r="H64" i="70" s="1"/>
  <c r="H65" i="70" s="1"/>
  <c r="H66" i="70" s="1"/>
  <c r="HF13" i="72"/>
  <c r="HF11" i="71"/>
  <c r="H60" i="70"/>
  <c r="GK13" i="71"/>
  <c r="H57" i="70"/>
  <c r="H59" i="70"/>
  <c r="A13" i="71"/>
  <c r="C13" i="71"/>
  <c r="B50" i="6"/>
  <c r="D11" i="75" l="1"/>
  <c r="AB21" i="75" s="1"/>
  <c r="CI21" i="75" s="1"/>
  <c r="D11" i="79"/>
  <c r="D11" i="81"/>
  <c r="AB21" i="81" s="1"/>
  <c r="CI21" i="81" s="1"/>
  <c r="AM8" i="81"/>
  <c r="D11" i="77"/>
  <c r="AB21" i="77" s="1"/>
  <c r="CI21" i="77" s="1"/>
  <c r="D11" i="72"/>
  <c r="AB21" i="72" s="1"/>
  <c r="CI21" i="72" s="1"/>
  <c r="D11" i="82"/>
  <c r="AB21" i="82" s="1"/>
  <c r="CI21" i="82" s="1"/>
  <c r="GK13" i="83"/>
  <c r="GW11" i="83"/>
  <c r="HF11" i="83"/>
  <c r="D19" i="70"/>
  <c r="D11" i="71"/>
  <c r="AB21" i="71" s="1"/>
  <c r="CI21" i="71" s="1"/>
  <c r="B51" i="6"/>
  <c r="A13" i="84" s="1"/>
  <c r="AC3" i="84" l="1"/>
  <c r="C5" i="72"/>
  <c r="C4" i="72"/>
  <c r="H58" i="72" s="1"/>
  <c r="C9" i="72"/>
  <c r="H61" i="72" s="1"/>
  <c r="H62" i="72" s="1"/>
  <c r="H63" i="72" s="1"/>
  <c r="H64" i="72" s="1"/>
  <c r="H65" i="72" s="1"/>
  <c r="H66" i="72" s="1"/>
  <c r="C1" i="72"/>
  <c r="C3" i="72"/>
  <c r="CI13" i="72"/>
  <c r="C8" i="72"/>
  <c r="H60" i="72" s="1"/>
  <c r="C2" i="72"/>
  <c r="H57" i="72" s="1"/>
  <c r="C6" i="72"/>
  <c r="D12" i="72"/>
  <c r="C7" i="72"/>
  <c r="H59" i="72" s="1"/>
  <c r="CI11" i="72"/>
  <c r="ET53" i="72" s="1"/>
  <c r="C8" i="79"/>
  <c r="H60" i="79" s="1"/>
  <c r="CI13" i="79"/>
  <c r="C4" i="79"/>
  <c r="H58" i="79" s="1"/>
  <c r="C2" i="79"/>
  <c r="H57" i="79" s="1"/>
  <c r="C3" i="79"/>
  <c r="C5" i="79"/>
  <c r="C7" i="79"/>
  <c r="H59" i="79" s="1"/>
  <c r="C9" i="79"/>
  <c r="H61" i="79" s="1"/>
  <c r="H62" i="79" s="1"/>
  <c r="H63" i="79" s="1"/>
  <c r="H64" i="79" s="1"/>
  <c r="H65" i="79" s="1"/>
  <c r="H66" i="79" s="1"/>
  <c r="C6" i="79"/>
  <c r="D12" i="79"/>
  <c r="AB21" i="79"/>
  <c r="CI21" i="79" s="1"/>
  <c r="CI11" i="79"/>
  <c r="ET53" i="79" s="1"/>
  <c r="C1" i="79"/>
  <c r="C7" i="82"/>
  <c r="H59" i="82" s="1"/>
  <c r="C8" i="82"/>
  <c r="H60" i="82" s="1"/>
  <c r="C9" i="82"/>
  <c r="H61" i="82" s="1"/>
  <c r="H62" i="82" s="1"/>
  <c r="H63" i="82" s="1"/>
  <c r="H64" i="82" s="1"/>
  <c r="H65" i="82" s="1"/>
  <c r="H66" i="82" s="1"/>
  <c r="CI11" i="82"/>
  <c r="ET53" i="82" s="1"/>
  <c r="C3" i="82"/>
  <c r="C4" i="82"/>
  <c r="H58" i="82" s="1"/>
  <c r="C6" i="82"/>
  <c r="C5" i="82"/>
  <c r="C1" i="82"/>
  <c r="C2" i="82"/>
  <c r="H57" i="82" s="1"/>
  <c r="D12" i="82"/>
  <c r="CI13" i="82"/>
  <c r="C2" i="81"/>
  <c r="H57" i="81" s="1"/>
  <c r="C5" i="81"/>
  <c r="C6" i="81"/>
  <c r="C4" i="81"/>
  <c r="H58" i="81" s="1"/>
  <c r="D12" i="81"/>
  <c r="C7" i="81"/>
  <c r="H59" i="81" s="1"/>
  <c r="C9" i="81"/>
  <c r="H61" i="81" s="1"/>
  <c r="H62" i="81" s="1"/>
  <c r="H63" i="81" s="1"/>
  <c r="H64" i="81" s="1"/>
  <c r="H65" i="81" s="1"/>
  <c r="H66" i="81" s="1"/>
  <c r="C3" i="81"/>
  <c r="CI13" i="81"/>
  <c r="C8" i="81"/>
  <c r="H60" i="81" s="1"/>
  <c r="C1" i="81"/>
  <c r="CI11" i="81"/>
  <c r="ET53" i="81" s="1"/>
  <c r="C4" i="75"/>
  <c r="H58" i="75" s="1"/>
  <c r="CI13" i="75"/>
  <c r="D12" i="75"/>
  <c r="C6" i="75"/>
  <c r="C3" i="75"/>
  <c r="C8" i="75"/>
  <c r="H60" i="75" s="1"/>
  <c r="C7" i="75"/>
  <c r="H59" i="75" s="1"/>
  <c r="C5" i="75"/>
  <c r="C2" i="75"/>
  <c r="C9" i="75"/>
  <c r="H61" i="75" s="1"/>
  <c r="H62" i="75" s="1"/>
  <c r="H63" i="75" s="1"/>
  <c r="H64" i="75" s="1"/>
  <c r="H65" i="75" s="1"/>
  <c r="H66" i="75" s="1"/>
  <c r="C1" i="75"/>
  <c r="CI11" i="75"/>
  <c r="ET53" i="75" s="1"/>
  <c r="CF4" i="84"/>
  <c r="C8" i="77"/>
  <c r="H60" i="77" s="1"/>
  <c r="CI13" i="77"/>
  <c r="C9" i="77"/>
  <c r="H61" i="77" s="1"/>
  <c r="H62" i="77" s="1"/>
  <c r="H63" i="77" s="1"/>
  <c r="H64" i="77" s="1"/>
  <c r="H65" i="77" s="1"/>
  <c r="H66" i="77" s="1"/>
  <c r="C6" i="77"/>
  <c r="D12" i="77"/>
  <c r="C2" i="77"/>
  <c r="H57" i="77" s="1"/>
  <c r="C5" i="77"/>
  <c r="C4" i="77"/>
  <c r="H58" i="77" s="1"/>
  <c r="C7" i="77"/>
  <c r="H59" i="77" s="1"/>
  <c r="C3" i="77"/>
  <c r="C1" i="77"/>
  <c r="CI11" i="77"/>
  <c r="ET53" i="77" s="1"/>
  <c r="D20" i="72"/>
  <c r="C8" i="71"/>
  <c r="C9" i="71"/>
  <c r="C3" i="71"/>
  <c r="C7" i="71"/>
  <c r="C4" i="71"/>
  <c r="C6" i="71"/>
  <c r="D12" i="71"/>
  <c r="CI11" i="71"/>
  <c r="ET53" i="71" s="1"/>
  <c r="C1" i="71"/>
  <c r="C5" i="71"/>
  <c r="CI13" i="71"/>
  <c r="C2" i="71"/>
  <c r="B52" i="6"/>
  <c r="CF4" i="85" s="1"/>
  <c r="D20" i="75" l="1"/>
  <c r="H57" i="75"/>
  <c r="D19" i="72"/>
  <c r="H61" i="71"/>
  <c r="H62" i="71" s="1"/>
  <c r="H63" i="71" s="1"/>
  <c r="H64" i="71" s="1"/>
  <c r="H65" i="71" s="1"/>
  <c r="H66" i="71" s="1"/>
  <c r="H58" i="71"/>
  <c r="H60" i="71"/>
  <c r="H57" i="71"/>
  <c r="H59" i="71"/>
  <c r="B54" i="6"/>
  <c r="B56" i="6" l="1"/>
  <c r="U4" i="7" l="1"/>
  <c r="B57" i="6"/>
  <c r="B58" i="6" l="1"/>
  <c r="B60" i="6" l="1"/>
  <c r="HF13" i="79" l="1"/>
  <c r="CF4" i="86"/>
  <c r="CF4" i="87"/>
  <c r="CF4" i="88"/>
  <c r="HF11" i="78"/>
  <c r="HF11" i="77"/>
  <c r="A13" i="85"/>
  <c r="HF13" i="88"/>
  <c r="A13" i="76"/>
  <c r="GW11" i="89"/>
  <c r="AC3" i="78"/>
  <c r="A13" i="80"/>
  <c r="C13" i="90"/>
  <c r="DX8" i="90" s="1"/>
  <c r="CF4" i="81"/>
  <c r="HF13" i="84"/>
  <c r="C13" i="74"/>
  <c r="HF11" i="88"/>
  <c r="C13" i="76"/>
  <c r="GK11" i="76"/>
  <c r="EP11" i="79"/>
  <c r="HF13" i="86"/>
  <c r="GK11" i="85"/>
  <c r="GK11" i="87"/>
  <c r="HF11" i="86"/>
  <c r="GW11" i="82"/>
  <c r="AC3" i="90"/>
  <c r="GK11" i="78"/>
  <c r="CF4" i="91"/>
  <c r="CF4" i="90"/>
  <c r="HF13" i="83"/>
  <c r="HF11" i="89"/>
  <c r="C13" i="92"/>
  <c r="HF13" i="81"/>
  <c r="HF13" i="78"/>
  <c r="HF13" i="91"/>
  <c r="AC3" i="71"/>
  <c r="GW11" i="84"/>
  <c r="C13" i="89"/>
  <c r="DX8" i="89" s="1"/>
  <c r="AC3" i="72"/>
  <c r="AC3" i="76"/>
  <c r="C13" i="78"/>
  <c r="C13" i="86"/>
  <c r="DX8" i="86" s="1"/>
  <c r="HF11" i="85"/>
  <c r="GK11" i="84"/>
  <c r="AC3" i="92"/>
  <c r="C13" i="85"/>
  <c r="GK11" i="88"/>
  <c r="EP11" i="90"/>
  <c r="C13" i="88"/>
  <c r="HF13" i="89"/>
  <c r="A13" i="89"/>
  <c r="EP11" i="88"/>
  <c r="GK13" i="90"/>
  <c r="AC3" i="88"/>
  <c r="C13" i="91"/>
  <c r="EP11" i="92"/>
  <c r="A13" i="91"/>
  <c r="GK11" i="91"/>
  <c r="EP11" i="91"/>
  <c r="EP11" i="83"/>
  <c r="HF13" i="90"/>
  <c r="GK13" i="84"/>
  <c r="GW11" i="85"/>
  <c r="A13" i="92"/>
  <c r="HF11" i="92"/>
  <c r="GK11" i="89"/>
  <c r="AC3" i="83"/>
  <c r="GK13" i="91"/>
  <c r="GW11" i="86"/>
  <c r="A13" i="90"/>
  <c r="C13" i="84"/>
  <c r="GK13" i="86"/>
  <c r="GK13" i="92"/>
  <c r="HF13" i="92"/>
  <c r="HF13" i="87"/>
  <c r="A13" i="86"/>
  <c r="GK11" i="83"/>
  <c r="HF13" i="85"/>
  <c r="GK13" i="85"/>
  <c r="C13" i="83"/>
  <c r="A13" i="88"/>
  <c r="AC3" i="86"/>
  <c r="EP11" i="89"/>
  <c r="EP11" i="84"/>
  <c r="A13" i="83"/>
  <c r="EP11" i="87"/>
  <c r="GK13" i="87"/>
  <c r="GK11" i="90"/>
  <c r="EP11" i="86"/>
  <c r="CF4" i="83"/>
  <c r="EP11" i="85"/>
  <c r="GK13" i="88"/>
  <c r="A13" i="87"/>
  <c r="GK11" i="92"/>
  <c r="C13" i="87"/>
  <c r="HF11" i="91"/>
  <c r="AC3" i="87"/>
  <c r="GK13" i="89"/>
  <c r="GW11" i="90"/>
  <c r="HF11" i="87"/>
  <c r="GW11" i="88"/>
  <c r="AC3" i="89"/>
  <c r="AC3" i="91"/>
  <c r="AC3" i="85"/>
  <c r="CF4" i="89"/>
  <c r="HF11" i="84"/>
  <c r="GW11" i="92"/>
  <c r="GW11" i="87"/>
  <c r="GK11" i="86"/>
  <c r="CF4" i="92"/>
  <c r="HF11" i="90"/>
  <c r="GW11" i="91"/>
  <c r="C13" i="25"/>
  <c r="C13" i="23"/>
  <c r="DX8" i="23" s="1"/>
  <c r="C13" i="24"/>
  <c r="C13" i="17"/>
  <c r="C13" i="13"/>
  <c r="DX8" i="13" s="1"/>
  <c r="C13" i="19"/>
  <c r="C13" i="16"/>
  <c r="C13" i="15"/>
  <c r="C13" i="20"/>
  <c r="DX8" i="20" s="1"/>
  <c r="C13" i="21"/>
  <c r="DX8" i="21" s="1"/>
  <c r="C13" i="26"/>
  <c r="HF13" i="10"/>
  <c r="GK11" i="21"/>
  <c r="A13" i="10"/>
  <c r="GK11" i="29"/>
  <c r="S4" i="7"/>
  <c r="S30" i="7" s="1"/>
  <c r="A6" i="7"/>
  <c r="D6" i="7" s="1"/>
  <c r="B6" i="7"/>
  <c r="N6" i="7" s="1"/>
  <c r="EO25" i="37"/>
  <c r="EO14" i="37"/>
  <c r="DT3" i="37"/>
  <c r="D11" i="86" l="1"/>
  <c r="AM8" i="86"/>
  <c r="D11" i="92"/>
  <c r="DX8" i="74"/>
  <c r="D11" i="74"/>
  <c r="D11" i="80"/>
  <c r="AM8" i="80"/>
  <c r="DX8" i="84"/>
  <c r="AB21" i="84"/>
  <c r="CI21" i="84" s="1"/>
  <c r="D11" i="89"/>
  <c r="AB21" i="89" s="1"/>
  <c r="CI21" i="89" s="1"/>
  <c r="AM8" i="89"/>
  <c r="D11" i="85"/>
  <c r="AB21" i="85" s="1"/>
  <c r="CI21" i="85" s="1"/>
  <c r="D11" i="90"/>
  <c r="D11" i="87"/>
  <c r="D11" i="83"/>
  <c r="AB21" i="83" s="1"/>
  <c r="CI21" i="83" s="1"/>
  <c r="AM8" i="83"/>
  <c r="D11" i="88"/>
  <c r="D11" i="91"/>
  <c r="AM8" i="91"/>
  <c r="DX8" i="78"/>
  <c r="D11" i="78"/>
  <c r="AB21" i="78" s="1"/>
  <c r="CI21" i="78" s="1"/>
  <c r="D11" i="76"/>
  <c r="AB21" i="76" s="1"/>
  <c r="CI21" i="76" s="1"/>
  <c r="AM8" i="76"/>
  <c r="P16" i="7"/>
  <c r="P42" i="7" s="1"/>
  <c r="N32" i="7"/>
  <c r="F16" i="7"/>
  <c r="F42" i="7" s="1"/>
  <c r="D32" i="7"/>
  <c r="AC13" i="10"/>
  <c r="HF13" i="30"/>
  <c r="A13" i="21"/>
  <c r="HF13" i="28"/>
  <c r="GK11" i="13"/>
  <c r="A13" i="20"/>
  <c r="GK11" i="25"/>
  <c r="GK11" i="28"/>
  <c r="S3" i="7"/>
  <c r="S29" i="7" s="1"/>
  <c r="F4" i="7"/>
  <c r="F30" i="7" s="1"/>
  <c r="HF13" i="24"/>
  <c r="HF13" i="25"/>
  <c r="Q4" i="7"/>
  <c r="Q30" i="7" s="1"/>
  <c r="U30" i="7"/>
  <c r="M4" i="7"/>
  <c r="M30" i="7" s="1"/>
  <c r="GK11" i="23"/>
  <c r="HF13" i="21"/>
  <c r="A13" i="17"/>
  <c r="AM8" i="17" s="1"/>
  <c r="HF13" i="31"/>
  <c r="A13" i="14"/>
  <c r="AM8" i="14" s="1"/>
  <c r="A13" i="26"/>
  <c r="AM8" i="26" s="1"/>
  <c r="HF13" i="20"/>
  <c r="GK11" i="30"/>
  <c r="GK11" i="24"/>
  <c r="A13" i="13"/>
  <c r="HF13" i="14"/>
  <c r="A13" i="31"/>
  <c r="GK11" i="26"/>
  <c r="HF13" i="13"/>
  <c r="GK11" i="19"/>
  <c r="HF13" i="15"/>
  <c r="GK11" i="16"/>
  <c r="A13" i="25"/>
  <c r="AM8" i="25" s="1"/>
  <c r="HF13" i="19"/>
  <c r="A13" i="30"/>
  <c r="AM8" i="30" s="1"/>
  <c r="GK11" i="15"/>
  <c r="HF13" i="16"/>
  <c r="GK11" i="17"/>
  <c r="HF13" i="26"/>
  <c r="A13" i="28"/>
  <c r="HF13" i="23"/>
  <c r="GK11" i="10"/>
  <c r="A13" i="23"/>
  <c r="HF13" i="17"/>
  <c r="GK11" i="31"/>
  <c r="GK11" i="20"/>
  <c r="A13" i="19"/>
  <c r="HF13" i="29"/>
  <c r="A13" i="29"/>
  <c r="GK11" i="14"/>
  <c r="A13" i="15"/>
  <c r="A13" i="24"/>
  <c r="A13" i="16"/>
  <c r="AM8" i="16" s="1"/>
  <c r="N15" i="7"/>
  <c r="N12" i="7"/>
  <c r="N9" i="7"/>
  <c r="N8" i="7"/>
  <c r="N10" i="7"/>
  <c r="N13" i="7"/>
  <c r="N14" i="7"/>
  <c r="N11" i="7"/>
  <c r="D14" i="7"/>
  <c r="D15" i="7"/>
  <c r="D12" i="7"/>
  <c r="D9" i="7"/>
  <c r="D11" i="7"/>
  <c r="D13" i="7"/>
  <c r="D10" i="7"/>
  <c r="D8" i="7"/>
  <c r="EO36" i="37"/>
  <c r="EO3" i="37"/>
  <c r="EO47" i="37"/>
  <c r="DT36" i="37"/>
  <c r="DT47" i="37"/>
  <c r="DT25" i="37"/>
  <c r="DT14" i="37"/>
  <c r="CI13" i="83" l="1"/>
  <c r="D12" i="83"/>
  <c r="C2" i="83"/>
  <c r="H57" i="83" s="1"/>
  <c r="C6" i="83"/>
  <c r="C5" i="83"/>
  <c r="C4" i="83"/>
  <c r="H58" i="83" s="1"/>
  <c r="C7" i="83"/>
  <c r="H59" i="83" s="1"/>
  <c r="C3" i="83"/>
  <c r="C8" i="83"/>
  <c r="H60" i="83" s="1"/>
  <c r="C9" i="83"/>
  <c r="H61" i="83" s="1"/>
  <c r="H62" i="83" s="1"/>
  <c r="H63" i="83" s="1"/>
  <c r="H64" i="83" s="1"/>
  <c r="H65" i="83" s="1"/>
  <c r="H66" i="83" s="1"/>
  <c r="CI11" i="83"/>
  <c r="ET53" i="83" s="1"/>
  <c r="C1" i="83"/>
  <c r="CI13" i="92"/>
  <c r="C6" i="92"/>
  <c r="C4" i="92"/>
  <c r="H58" i="92" s="1"/>
  <c r="C7" i="92"/>
  <c r="H59" i="92" s="1"/>
  <c r="D12" i="92"/>
  <c r="C9" i="92"/>
  <c r="H61" i="92" s="1"/>
  <c r="H62" i="92" s="1"/>
  <c r="H63" i="92" s="1"/>
  <c r="H64" i="92" s="1"/>
  <c r="H65" i="92" s="1"/>
  <c r="H66" i="92" s="1"/>
  <c r="C5" i="92"/>
  <c r="C3" i="92"/>
  <c r="C2" i="92"/>
  <c r="H57" i="92" s="1"/>
  <c r="C8" i="92"/>
  <c r="H60" i="92" s="1"/>
  <c r="CI11" i="92"/>
  <c r="ET53" i="92" s="1"/>
  <c r="C1" i="92"/>
  <c r="C5" i="76"/>
  <c r="C8" i="76"/>
  <c r="H60" i="76" s="1"/>
  <c r="C3" i="76"/>
  <c r="C7" i="76"/>
  <c r="H59" i="76" s="1"/>
  <c r="C2" i="76"/>
  <c r="H57" i="76" s="1"/>
  <c r="C9" i="76"/>
  <c r="H61" i="76" s="1"/>
  <c r="H62" i="76" s="1"/>
  <c r="H63" i="76" s="1"/>
  <c r="H64" i="76" s="1"/>
  <c r="H65" i="76" s="1"/>
  <c r="H66" i="76" s="1"/>
  <c r="C4" i="76"/>
  <c r="H58" i="76" s="1"/>
  <c r="D12" i="76"/>
  <c r="C6" i="76"/>
  <c r="CI13" i="76"/>
  <c r="C1" i="76"/>
  <c r="CI11" i="76"/>
  <c r="ET53" i="76" s="1"/>
  <c r="CI13" i="90"/>
  <c r="C8" i="90"/>
  <c r="H60" i="90" s="1"/>
  <c r="C5" i="90"/>
  <c r="C3" i="90"/>
  <c r="C6" i="90"/>
  <c r="D12" i="90"/>
  <c r="C9" i="90"/>
  <c r="H61" i="90" s="1"/>
  <c r="H62" i="90" s="1"/>
  <c r="H63" i="90" s="1"/>
  <c r="H64" i="90" s="1"/>
  <c r="H65" i="90" s="1"/>
  <c r="H66" i="90" s="1"/>
  <c r="C4" i="90"/>
  <c r="H58" i="90" s="1"/>
  <c r="C2" i="90"/>
  <c r="H57" i="90" s="1"/>
  <c r="C7" i="90"/>
  <c r="H59" i="90" s="1"/>
  <c r="AB21" i="90"/>
  <c r="CI21" i="90" s="1"/>
  <c r="CI11" i="90"/>
  <c r="ET53" i="90" s="1"/>
  <c r="C1" i="90"/>
  <c r="CI13" i="89"/>
  <c r="C7" i="89"/>
  <c r="H59" i="89" s="1"/>
  <c r="C2" i="89"/>
  <c r="H57" i="89" s="1"/>
  <c r="D12" i="89"/>
  <c r="C9" i="89"/>
  <c r="H61" i="89" s="1"/>
  <c r="H62" i="89" s="1"/>
  <c r="H63" i="89" s="1"/>
  <c r="H64" i="89" s="1"/>
  <c r="H65" i="89" s="1"/>
  <c r="H66" i="89" s="1"/>
  <c r="C8" i="89"/>
  <c r="H60" i="89" s="1"/>
  <c r="C4" i="89"/>
  <c r="H58" i="89" s="1"/>
  <c r="C3" i="89"/>
  <c r="C6" i="89"/>
  <c r="C5" i="89"/>
  <c r="C1" i="89"/>
  <c r="CI11" i="89"/>
  <c r="ET53" i="89" s="1"/>
  <c r="C8" i="78"/>
  <c r="H60" i="78" s="1"/>
  <c r="C2" i="78"/>
  <c r="H57" i="78" s="1"/>
  <c r="C4" i="78"/>
  <c r="H58" i="78" s="1"/>
  <c r="C3" i="78"/>
  <c r="C6" i="78"/>
  <c r="CI13" i="78"/>
  <c r="C7" i="78"/>
  <c r="H59" i="78" s="1"/>
  <c r="D12" i="78"/>
  <c r="C9" i="78"/>
  <c r="H61" i="78" s="1"/>
  <c r="H62" i="78" s="1"/>
  <c r="H63" i="78" s="1"/>
  <c r="H64" i="78" s="1"/>
  <c r="H65" i="78" s="1"/>
  <c r="H66" i="78" s="1"/>
  <c r="C5" i="78"/>
  <c r="C1" i="78"/>
  <c r="CI11" i="78"/>
  <c r="ET53" i="78" s="1"/>
  <c r="CI13" i="85"/>
  <c r="C6" i="85"/>
  <c r="C3" i="85"/>
  <c r="D12" i="85"/>
  <c r="C5" i="85"/>
  <c r="C4" i="85"/>
  <c r="H58" i="85" s="1"/>
  <c r="C8" i="85"/>
  <c r="H60" i="85" s="1"/>
  <c r="C9" i="85"/>
  <c r="H61" i="85" s="1"/>
  <c r="H62" i="85" s="1"/>
  <c r="H63" i="85" s="1"/>
  <c r="H64" i="85" s="1"/>
  <c r="H65" i="85" s="1"/>
  <c r="H66" i="85" s="1"/>
  <c r="C7" i="85"/>
  <c r="H59" i="85" s="1"/>
  <c r="C2" i="85"/>
  <c r="H57" i="85" s="1"/>
  <c r="C1" i="85"/>
  <c r="CI11" i="85"/>
  <c r="ET53" i="85" s="1"/>
  <c r="D12" i="84"/>
  <c r="C3" i="84"/>
  <c r="C6" i="84"/>
  <c r="C9" i="84"/>
  <c r="H61" i="84" s="1"/>
  <c r="H62" i="84" s="1"/>
  <c r="H63" i="84" s="1"/>
  <c r="H64" i="84" s="1"/>
  <c r="H65" i="84" s="1"/>
  <c r="H66" i="84" s="1"/>
  <c r="C2" i="84"/>
  <c r="H57" i="84" s="1"/>
  <c r="CI13" i="84"/>
  <c r="C5" i="84"/>
  <c r="C4" i="84"/>
  <c r="H58" i="84" s="1"/>
  <c r="C7" i="84"/>
  <c r="H59" i="84" s="1"/>
  <c r="C8" i="84"/>
  <c r="H60" i="84" s="1"/>
  <c r="CI11" i="84"/>
  <c r="ET53" i="84" s="1"/>
  <c r="C1" i="84"/>
  <c r="C9" i="74"/>
  <c r="H61" i="74" s="1"/>
  <c r="H62" i="74" s="1"/>
  <c r="H63" i="74" s="1"/>
  <c r="H64" i="74" s="1"/>
  <c r="H65" i="74" s="1"/>
  <c r="H66" i="74" s="1"/>
  <c r="C1" i="74"/>
  <c r="CI11" i="74"/>
  <c r="ET53" i="74" s="1"/>
  <c r="C2" i="74"/>
  <c r="H57" i="74" s="1"/>
  <c r="C5" i="74"/>
  <c r="C7" i="74"/>
  <c r="H59" i="74" s="1"/>
  <c r="C6" i="74"/>
  <c r="C3" i="74"/>
  <c r="C8" i="74"/>
  <c r="H60" i="74" s="1"/>
  <c r="D12" i="74"/>
  <c r="C4" i="74"/>
  <c r="H58" i="74" s="1"/>
  <c r="AB21" i="74"/>
  <c r="CI21" i="74" s="1"/>
  <c r="CI13" i="74"/>
  <c r="C2" i="91"/>
  <c r="H57" i="91" s="1"/>
  <c r="C5" i="91"/>
  <c r="C7" i="91"/>
  <c r="H59" i="91" s="1"/>
  <c r="C4" i="91"/>
  <c r="H58" i="91" s="1"/>
  <c r="C9" i="91"/>
  <c r="H61" i="91" s="1"/>
  <c r="H62" i="91" s="1"/>
  <c r="H63" i="91" s="1"/>
  <c r="H64" i="91" s="1"/>
  <c r="H65" i="91" s="1"/>
  <c r="H66" i="91" s="1"/>
  <c r="C6" i="91"/>
  <c r="C3" i="91"/>
  <c r="C8" i="91"/>
  <c r="H60" i="91" s="1"/>
  <c r="D12" i="91"/>
  <c r="CI11" i="91"/>
  <c r="ET53" i="91" s="1"/>
  <c r="C1" i="91"/>
  <c r="CI13" i="91"/>
  <c r="C4" i="80"/>
  <c r="H58" i="80" s="1"/>
  <c r="C7" i="80"/>
  <c r="H59" i="80" s="1"/>
  <c r="D12" i="80"/>
  <c r="C2" i="80"/>
  <c r="H57" i="80" s="1"/>
  <c r="C3" i="80"/>
  <c r="C8" i="80"/>
  <c r="H60" i="80" s="1"/>
  <c r="C5" i="80"/>
  <c r="C9" i="80"/>
  <c r="H61" i="80" s="1"/>
  <c r="H62" i="80" s="1"/>
  <c r="H63" i="80" s="1"/>
  <c r="H64" i="80" s="1"/>
  <c r="H65" i="80" s="1"/>
  <c r="H66" i="80" s="1"/>
  <c r="CI13" i="80"/>
  <c r="C6" i="80"/>
  <c r="AB21" i="80"/>
  <c r="CI21" i="80" s="1"/>
  <c r="C1" i="80"/>
  <c r="CI11" i="80"/>
  <c r="ET53" i="80" s="1"/>
  <c r="CI13" i="88"/>
  <c r="C9" i="88"/>
  <c r="H61" i="88" s="1"/>
  <c r="H62" i="88" s="1"/>
  <c r="H63" i="88" s="1"/>
  <c r="H64" i="88" s="1"/>
  <c r="H65" i="88" s="1"/>
  <c r="H66" i="88" s="1"/>
  <c r="C6" i="88"/>
  <c r="D12" i="88"/>
  <c r="C4" i="88"/>
  <c r="H58" i="88" s="1"/>
  <c r="C2" i="88"/>
  <c r="H57" i="88" s="1"/>
  <c r="C5" i="88"/>
  <c r="C3" i="88"/>
  <c r="C8" i="88"/>
  <c r="H60" i="88" s="1"/>
  <c r="C7" i="88"/>
  <c r="H59" i="88" s="1"/>
  <c r="AB21" i="88"/>
  <c r="CI21" i="88" s="1"/>
  <c r="C1" i="88"/>
  <c r="CI11" i="88"/>
  <c r="ET53" i="88" s="1"/>
  <c r="C2" i="87"/>
  <c r="H57" i="87" s="1"/>
  <c r="C5" i="87"/>
  <c r="C8" i="87"/>
  <c r="H60" i="87" s="1"/>
  <c r="C7" i="87"/>
  <c r="H59" i="87" s="1"/>
  <c r="C3" i="87"/>
  <c r="C6" i="87"/>
  <c r="C4" i="87"/>
  <c r="H58" i="87" s="1"/>
  <c r="C9" i="87"/>
  <c r="H61" i="87" s="1"/>
  <c r="H62" i="87" s="1"/>
  <c r="H63" i="87" s="1"/>
  <c r="H64" i="87" s="1"/>
  <c r="H65" i="87" s="1"/>
  <c r="H66" i="87" s="1"/>
  <c r="C1" i="87"/>
  <c r="D12" i="87"/>
  <c r="CI11" i="87"/>
  <c r="ET53" i="87" s="1"/>
  <c r="AB21" i="87"/>
  <c r="CI21" i="87" s="1"/>
  <c r="CI13" i="87"/>
  <c r="C8" i="86"/>
  <c r="H60" i="86" s="1"/>
  <c r="C9" i="86"/>
  <c r="H61" i="86" s="1"/>
  <c r="H62" i="86" s="1"/>
  <c r="H63" i="86" s="1"/>
  <c r="H64" i="86" s="1"/>
  <c r="H65" i="86" s="1"/>
  <c r="H66" i="86" s="1"/>
  <c r="CI13" i="86"/>
  <c r="C7" i="86"/>
  <c r="H59" i="86" s="1"/>
  <c r="C2" i="86"/>
  <c r="H57" i="86" s="1"/>
  <c r="C6" i="86"/>
  <c r="D12" i="86"/>
  <c r="C5" i="86"/>
  <c r="C4" i="86"/>
  <c r="H58" i="86" s="1"/>
  <c r="C3" i="86"/>
  <c r="AB21" i="86"/>
  <c r="CI21" i="86" s="1"/>
  <c r="C1" i="86"/>
  <c r="CI11" i="86"/>
  <c r="ET53" i="86" s="1"/>
  <c r="D11" i="10"/>
  <c r="D35" i="7"/>
  <c r="D40" i="7"/>
  <c r="N36" i="7"/>
  <c r="N38" i="7"/>
  <c r="D37" i="7"/>
  <c r="D41" i="7"/>
  <c r="N39" i="7"/>
  <c r="N35" i="7"/>
  <c r="N34" i="7"/>
  <c r="D34" i="7"/>
  <c r="D36" i="7"/>
  <c r="N37" i="7"/>
  <c r="D39" i="7"/>
  <c r="D38" i="7"/>
  <c r="N40" i="7"/>
  <c r="N41" i="7"/>
  <c r="A1" i="10"/>
  <c r="AC11" i="10"/>
  <c r="AC13" i="16"/>
  <c r="AC13" i="29"/>
  <c r="AC13" i="25"/>
  <c r="AC13" i="23"/>
  <c r="AC13" i="30"/>
  <c r="AC13" i="13"/>
  <c r="AC13" i="26"/>
  <c r="AC13" i="17"/>
  <c r="A6" i="10"/>
  <c r="A2" i="10"/>
  <c r="A9" i="10"/>
  <c r="A5" i="10"/>
  <c r="B12" i="10"/>
  <c r="A4" i="10"/>
  <c r="A8" i="10"/>
  <c r="A7" i="10"/>
  <c r="A3" i="10"/>
  <c r="AC13" i="24"/>
  <c r="AC13" i="19"/>
  <c r="AC13" i="14"/>
  <c r="AC13" i="21"/>
  <c r="AC13" i="15"/>
  <c r="AC13" i="28"/>
  <c r="AC13" i="31"/>
  <c r="AC13" i="20"/>
  <c r="CI13" i="10" l="1"/>
  <c r="AB21" i="10"/>
  <c r="CI21" i="10" s="1"/>
  <c r="C1" i="10"/>
  <c r="C7" i="10"/>
  <c r="C3" i="10"/>
  <c r="C8" i="10"/>
  <c r="C2" i="10"/>
  <c r="D12" i="10"/>
  <c r="C4" i="10"/>
  <c r="C5" i="10"/>
  <c r="CI11" i="10"/>
  <c r="ET53" i="10" s="1"/>
  <c r="C6" i="10"/>
  <c r="C9" i="10"/>
  <c r="D11" i="25"/>
  <c r="AC11" i="25"/>
  <c r="AX53" i="25" s="1"/>
  <c r="A1" i="25"/>
  <c r="D11" i="28"/>
  <c r="A1" i="28"/>
  <c r="AC11" i="28"/>
  <c r="D11" i="19"/>
  <c r="AC11" i="19"/>
  <c r="A1" i="19"/>
  <c r="AC11" i="24"/>
  <c r="AX53" i="24" s="1"/>
  <c r="A1" i="24"/>
  <c r="D11" i="17"/>
  <c r="AC11" i="17"/>
  <c r="A1" i="17"/>
  <c r="A1" i="13"/>
  <c r="AC11" i="13"/>
  <c r="AX53" i="13" s="1"/>
  <c r="AC11" i="23"/>
  <c r="AX53" i="23" s="1"/>
  <c r="A1" i="23"/>
  <c r="AC11" i="16"/>
  <c r="AX53" i="16" s="1"/>
  <c r="A1" i="16"/>
  <c r="D11" i="20"/>
  <c r="AC11" i="20"/>
  <c r="AX53" i="20" s="1"/>
  <c r="A1" i="20"/>
  <c r="AC11" i="21"/>
  <c r="AX53" i="21" s="1"/>
  <c r="A1" i="21"/>
  <c r="A1" i="29"/>
  <c r="AC11" i="29"/>
  <c r="AX53" i="29" s="1"/>
  <c r="AC11" i="31"/>
  <c r="A1" i="31"/>
  <c r="A1" i="15"/>
  <c r="AC11" i="15"/>
  <c r="D11" i="14"/>
  <c r="AC11" i="14"/>
  <c r="AX53" i="14" s="1"/>
  <c r="A1" i="14"/>
  <c r="D11" i="26"/>
  <c r="AC11" i="26"/>
  <c r="AX53" i="26" s="1"/>
  <c r="A1" i="26"/>
  <c r="D11" i="30"/>
  <c r="AC11" i="30"/>
  <c r="AX53" i="30" s="1"/>
  <c r="A1" i="30"/>
  <c r="AX53" i="10"/>
  <c r="A9" i="20"/>
  <c r="A5" i="20"/>
  <c r="B12" i="20"/>
  <c r="A8" i="20"/>
  <c r="A4" i="20"/>
  <c r="A7" i="20"/>
  <c r="A3" i="20"/>
  <c r="A6" i="20"/>
  <c r="A2" i="20"/>
  <c r="A9" i="31"/>
  <c r="A5" i="31"/>
  <c r="B12" i="31"/>
  <c r="A7" i="31"/>
  <c r="A3" i="31"/>
  <c r="A8" i="31"/>
  <c r="A4" i="31"/>
  <c r="A2" i="31"/>
  <c r="A6" i="31"/>
  <c r="A9" i="15"/>
  <c r="A5" i="15"/>
  <c r="A8" i="15"/>
  <c r="A4" i="15"/>
  <c r="B12" i="15"/>
  <c r="A3" i="15"/>
  <c r="A2" i="15"/>
  <c r="A7" i="15"/>
  <c r="A6" i="15"/>
  <c r="A9" i="14"/>
  <c r="A5" i="14"/>
  <c r="A8" i="14"/>
  <c r="A4" i="14"/>
  <c r="A7" i="14"/>
  <c r="A6" i="14"/>
  <c r="B12" i="14"/>
  <c r="A3" i="14"/>
  <c r="A2" i="14"/>
  <c r="A6" i="24"/>
  <c r="A2" i="24"/>
  <c r="A4" i="24"/>
  <c r="A9" i="24"/>
  <c r="A5" i="24"/>
  <c r="A8" i="24"/>
  <c r="A7" i="24"/>
  <c r="A3" i="24"/>
  <c r="B12" i="24"/>
  <c r="E57" i="10"/>
  <c r="A9" i="13"/>
  <c r="A5" i="13"/>
  <c r="A8" i="13"/>
  <c r="A4" i="13"/>
  <c r="A7" i="13"/>
  <c r="B12" i="13"/>
  <c r="A3" i="13"/>
  <c r="A2" i="13"/>
  <c r="A6" i="13"/>
  <c r="A8" i="23"/>
  <c r="A4" i="23"/>
  <c r="A7" i="23"/>
  <c r="A3" i="23"/>
  <c r="A6" i="23"/>
  <c r="A2" i="23"/>
  <c r="A5" i="23"/>
  <c r="A9" i="23"/>
  <c r="A6" i="29"/>
  <c r="A2" i="29"/>
  <c r="A4" i="29"/>
  <c r="A9" i="29"/>
  <c r="A5" i="29"/>
  <c r="A8" i="29"/>
  <c r="A3" i="29"/>
  <c r="B12" i="29"/>
  <c r="A7" i="29"/>
  <c r="D11" i="13"/>
  <c r="E59" i="10"/>
  <c r="A9" i="26"/>
  <c r="A5" i="26"/>
  <c r="B12" i="26"/>
  <c r="A7" i="26"/>
  <c r="A3" i="26"/>
  <c r="A8" i="26"/>
  <c r="A4" i="26"/>
  <c r="A6" i="26"/>
  <c r="A2" i="26"/>
  <c r="B12" i="21"/>
  <c r="A7" i="21"/>
  <c r="A3" i="21"/>
  <c r="A6" i="21"/>
  <c r="A2" i="21"/>
  <c r="A9" i="21"/>
  <c r="A5" i="21"/>
  <c r="A8" i="21"/>
  <c r="A4" i="21"/>
  <c r="E60" i="10"/>
  <c r="E61" i="10"/>
  <c r="B12" i="30"/>
  <c r="A7" i="30"/>
  <c r="A3" i="30"/>
  <c r="A9" i="30"/>
  <c r="A5" i="30"/>
  <c r="A6" i="30"/>
  <c r="A2" i="30"/>
  <c r="A8" i="30"/>
  <c r="A4" i="30"/>
  <c r="A9" i="25"/>
  <c r="A5" i="25"/>
  <c r="B12" i="25"/>
  <c r="A3" i="25"/>
  <c r="A8" i="25"/>
  <c r="A4" i="25"/>
  <c r="A7" i="25"/>
  <c r="A2" i="25"/>
  <c r="A6" i="25"/>
  <c r="D11" i="15"/>
  <c r="D11" i="23"/>
  <c r="D11" i="24"/>
  <c r="D11" i="29"/>
  <c r="D11" i="31"/>
  <c r="A8" i="28"/>
  <c r="A4" i="28"/>
  <c r="B12" i="28"/>
  <c r="A7" i="28"/>
  <c r="A3" i="28"/>
  <c r="A6" i="28"/>
  <c r="A2" i="28"/>
  <c r="A5" i="28"/>
  <c r="A9" i="28"/>
  <c r="D11" i="21"/>
  <c r="A6" i="19"/>
  <c r="A2" i="19"/>
  <c r="A8" i="19"/>
  <c r="A9" i="19"/>
  <c r="A5" i="19"/>
  <c r="A4" i="19"/>
  <c r="A3" i="19"/>
  <c r="B12" i="19"/>
  <c r="A7" i="19"/>
  <c r="E58" i="10"/>
  <c r="A8" i="17"/>
  <c r="A4" i="17"/>
  <c r="B12" i="17"/>
  <c r="A7" i="17"/>
  <c r="A3" i="17"/>
  <c r="A6" i="17"/>
  <c r="A2" i="17"/>
  <c r="A9" i="17"/>
  <c r="A5" i="17"/>
  <c r="A6" i="16"/>
  <c r="A2" i="16"/>
  <c r="A8" i="16"/>
  <c r="A9" i="16"/>
  <c r="A5" i="16"/>
  <c r="A4" i="16"/>
  <c r="B12" i="16"/>
  <c r="A3" i="16"/>
  <c r="A7" i="16"/>
  <c r="B25" i="37"/>
  <c r="B47" i="37"/>
  <c r="B3" i="37"/>
  <c r="B36" i="37"/>
  <c r="B14" i="37"/>
  <c r="CI13" i="21" l="1"/>
  <c r="AB21" i="21"/>
  <c r="CI21" i="21" s="1"/>
  <c r="CI13" i="20"/>
  <c r="AB21" i="20"/>
  <c r="CI21" i="20" s="1"/>
  <c r="CI13" i="14"/>
  <c r="AB21" i="14"/>
  <c r="CI21" i="14" s="1"/>
  <c r="CI13" i="16"/>
  <c r="AB21" i="16"/>
  <c r="CI21" i="16" s="1"/>
  <c r="CI13" i="19"/>
  <c r="AB21" i="19"/>
  <c r="CI21" i="19" s="1"/>
  <c r="CI13" i="31"/>
  <c r="AB21" i="31"/>
  <c r="CI21" i="31" s="1"/>
  <c r="CI13" i="15"/>
  <c r="AB21" i="15"/>
  <c r="CI21" i="15" s="1"/>
  <c r="CI13" i="13"/>
  <c r="AB21" i="13"/>
  <c r="CI21" i="13" s="1"/>
  <c r="AX53" i="17"/>
  <c r="AX53" i="15"/>
  <c r="AX53" i="19"/>
  <c r="CI13" i="23"/>
  <c r="AB21" i="23"/>
  <c r="CI21" i="23" s="1"/>
  <c r="CI13" i="25"/>
  <c r="AB21" i="25"/>
  <c r="CI21" i="25" s="1"/>
  <c r="CI13" i="24"/>
  <c r="AB21" i="24"/>
  <c r="CI21" i="24" s="1"/>
  <c r="C5" i="26"/>
  <c r="AB21" i="26"/>
  <c r="CI21" i="26" s="1"/>
  <c r="CI13" i="17"/>
  <c r="AB21" i="17"/>
  <c r="CI21" i="17" s="1"/>
  <c r="AX53" i="31"/>
  <c r="CI13" i="29"/>
  <c r="AB21" i="29"/>
  <c r="CI21" i="29" s="1"/>
  <c r="CI13" i="30"/>
  <c r="AB21" i="30"/>
  <c r="CI21" i="30" s="1"/>
  <c r="CI13" i="28"/>
  <c r="AB21" i="28"/>
  <c r="CI21" i="28" s="1"/>
  <c r="CI11" i="30"/>
  <c r="H57" i="10"/>
  <c r="C7" i="17"/>
  <c r="H59" i="17" s="1"/>
  <c r="H61" i="10"/>
  <c r="H62" i="10" s="1"/>
  <c r="H63" i="10" s="1"/>
  <c r="H64" i="10" s="1"/>
  <c r="H65" i="10" s="1"/>
  <c r="H66" i="10" s="1"/>
  <c r="C2" i="28"/>
  <c r="H58" i="10"/>
  <c r="C6" i="28"/>
  <c r="C6" i="17"/>
  <c r="C3" i="20"/>
  <c r="C4" i="28"/>
  <c r="C4" i="17"/>
  <c r="C1" i="28"/>
  <c r="H60" i="10"/>
  <c r="D12" i="28"/>
  <c r="C2" i="17"/>
  <c r="H57" i="17" s="1"/>
  <c r="C2" i="20"/>
  <c r="C9" i="28"/>
  <c r="C7" i="28"/>
  <c r="C5" i="28"/>
  <c r="D12" i="17"/>
  <c r="C3" i="17"/>
  <c r="C7" i="20"/>
  <c r="CI11" i="28"/>
  <c r="C1" i="17"/>
  <c r="H59" i="10"/>
  <c r="C3" i="28"/>
  <c r="C8" i="28"/>
  <c r="C8" i="26"/>
  <c r="C9" i="17"/>
  <c r="C8" i="17"/>
  <c r="D12" i="20"/>
  <c r="C5" i="17"/>
  <c r="C6" i="20"/>
  <c r="C1" i="20"/>
  <c r="C4" i="20"/>
  <c r="C9" i="20"/>
  <c r="H61" i="20" s="1"/>
  <c r="H62" i="20" s="1"/>
  <c r="H63" i="20" s="1"/>
  <c r="H64" i="20" s="1"/>
  <c r="H65" i="20" s="1"/>
  <c r="H66" i="20" s="1"/>
  <c r="C5" i="20"/>
  <c r="CI11" i="20"/>
  <c r="ET53" i="20" s="1"/>
  <c r="C6" i="30"/>
  <c r="C8" i="20"/>
  <c r="CI11" i="17"/>
  <c r="ET53" i="17" s="1"/>
  <c r="C3" i="26"/>
  <c r="C9" i="16"/>
  <c r="C9" i="30"/>
  <c r="C6" i="14"/>
  <c r="D12" i="19"/>
  <c r="C2" i="19"/>
  <c r="C8" i="25"/>
  <c r="C4" i="19"/>
  <c r="C6" i="25"/>
  <c r="C3" i="30"/>
  <c r="C3" i="16"/>
  <c r="C7" i="14"/>
  <c r="C7" i="16"/>
  <c r="C3" i="25"/>
  <c r="C6" i="19"/>
  <c r="C6" i="16"/>
  <c r="C9" i="14"/>
  <c r="C5" i="25"/>
  <c r="C3" i="19"/>
  <c r="C8" i="19"/>
  <c r="C5" i="16"/>
  <c r="C8" i="14"/>
  <c r="C5" i="14"/>
  <c r="C4" i="25"/>
  <c r="C1" i="16"/>
  <c r="CI11" i="19"/>
  <c r="ET53" i="19" s="1"/>
  <c r="C1" i="25"/>
  <c r="C7" i="30"/>
  <c r="C9" i="19"/>
  <c r="C5" i="19"/>
  <c r="C2" i="16"/>
  <c r="C4" i="16"/>
  <c r="C4" i="14"/>
  <c r="C7" i="25"/>
  <c r="C2" i="25"/>
  <c r="H57" i="25" s="1"/>
  <c r="C5" i="30"/>
  <c r="C1" i="14"/>
  <c r="C4" i="30"/>
  <c r="CI11" i="14"/>
  <c r="ET53" i="14" s="1"/>
  <c r="CI11" i="25"/>
  <c r="ET53" i="25" s="1"/>
  <c r="C2" i="30"/>
  <c r="D12" i="30"/>
  <c r="C8" i="30"/>
  <c r="C7" i="19"/>
  <c r="C8" i="16"/>
  <c r="D12" i="16"/>
  <c r="C3" i="14"/>
  <c r="D12" i="14"/>
  <c r="C2" i="14"/>
  <c r="H57" i="14" s="1"/>
  <c r="D12" i="25"/>
  <c r="C9" i="25"/>
  <c r="H61" i="25" s="1"/>
  <c r="H62" i="25" s="1"/>
  <c r="H63" i="25" s="1"/>
  <c r="H64" i="25" s="1"/>
  <c r="H65" i="25" s="1"/>
  <c r="H66" i="25" s="1"/>
  <c r="CI11" i="16"/>
  <c r="ET53" i="16" s="1"/>
  <c r="C1" i="19"/>
  <c r="C1" i="30"/>
  <c r="CI11" i="26"/>
  <c r="ET53" i="26" s="1"/>
  <c r="CI13" i="26"/>
  <c r="C7" i="26"/>
  <c r="C9" i="26"/>
  <c r="H61" i="26" s="1"/>
  <c r="H62" i="26" s="1"/>
  <c r="H63" i="26" s="1"/>
  <c r="H64" i="26" s="1"/>
  <c r="H65" i="26" s="1"/>
  <c r="H66" i="26" s="1"/>
  <c r="D12" i="26"/>
  <c r="C2" i="26"/>
  <c r="C1" i="26"/>
  <c r="C6" i="26"/>
  <c r="C4" i="26"/>
  <c r="C3" i="21"/>
  <c r="CI11" i="21"/>
  <c r="ET53" i="21" s="1"/>
  <c r="C1" i="21"/>
  <c r="D12" i="24"/>
  <c r="CI11" i="24"/>
  <c r="ET53" i="24" s="1"/>
  <c r="C1" i="24"/>
  <c r="D12" i="29"/>
  <c r="CI11" i="29"/>
  <c r="ET53" i="29" s="1"/>
  <c r="C1" i="29"/>
  <c r="CI11" i="23"/>
  <c r="ET53" i="23" s="1"/>
  <c r="C1" i="23"/>
  <c r="C6" i="31"/>
  <c r="CI11" i="31"/>
  <c r="C1" i="31"/>
  <c r="C4" i="15"/>
  <c r="CI11" i="15"/>
  <c r="ET53" i="15" s="1"/>
  <c r="C1" i="15"/>
  <c r="C3" i="13"/>
  <c r="CI11" i="13"/>
  <c r="C1" i="13"/>
  <c r="C4" i="24"/>
  <c r="C6" i="15"/>
  <c r="C7" i="24"/>
  <c r="C3" i="29"/>
  <c r="C3" i="23"/>
  <c r="C6" i="13"/>
  <c r="C5" i="15"/>
  <c r="C7" i="23"/>
  <c r="C2" i="29"/>
  <c r="C5" i="13"/>
  <c r="C4" i="29"/>
  <c r="C9" i="13"/>
  <c r="AX53" i="28"/>
  <c r="C6" i="29"/>
  <c r="C4" i="23"/>
  <c r="C2" i="13"/>
  <c r="C4" i="13"/>
  <c r="C3" i="24"/>
  <c r="C7" i="15"/>
  <c r="C2" i="15"/>
  <c r="C3" i="15"/>
  <c r="C9" i="15"/>
  <c r="D12" i="15"/>
  <c r="C2" i="24"/>
  <c r="C8" i="15"/>
  <c r="C8" i="29"/>
  <c r="C7" i="29"/>
  <c r="C5" i="29"/>
  <c r="C9" i="29"/>
  <c r="C2" i="23"/>
  <c r="E57" i="16"/>
  <c r="E57" i="17"/>
  <c r="E60" i="17"/>
  <c r="E58" i="19"/>
  <c r="E60" i="19"/>
  <c r="E59" i="28"/>
  <c r="E58" i="25"/>
  <c r="E57" i="30"/>
  <c r="E61" i="21"/>
  <c r="E59" i="21"/>
  <c r="E58" i="26"/>
  <c r="E60" i="29"/>
  <c r="E59" i="23"/>
  <c r="E59" i="13"/>
  <c r="E61" i="13"/>
  <c r="E60" i="24"/>
  <c r="E57" i="14"/>
  <c r="E58" i="14"/>
  <c r="E61" i="14"/>
  <c r="E59" i="15"/>
  <c r="E58" i="15"/>
  <c r="E60" i="31"/>
  <c r="E57" i="20"/>
  <c r="C9" i="24"/>
  <c r="C8" i="24"/>
  <c r="C6" i="23"/>
  <c r="C9" i="23"/>
  <c r="C5" i="23"/>
  <c r="D12" i="13"/>
  <c r="E61" i="16"/>
  <c r="E61" i="17"/>
  <c r="E59" i="17"/>
  <c r="E59" i="19"/>
  <c r="C2" i="21"/>
  <c r="D12" i="21"/>
  <c r="C9" i="21"/>
  <c r="C5" i="21"/>
  <c r="C7" i="21"/>
  <c r="C6" i="21"/>
  <c r="C9" i="31"/>
  <c r="E60" i="25"/>
  <c r="E59" i="30"/>
  <c r="E58" i="21"/>
  <c r="E60" i="26"/>
  <c r="E59" i="29"/>
  <c r="E58" i="13"/>
  <c r="E60" i="14"/>
  <c r="E60" i="15"/>
  <c r="E59" i="20"/>
  <c r="E58" i="16"/>
  <c r="E60" i="16"/>
  <c r="E58" i="28"/>
  <c r="C4" i="31"/>
  <c r="C7" i="31"/>
  <c r="C5" i="31"/>
  <c r="C2" i="31"/>
  <c r="C8" i="31"/>
  <c r="E61" i="25"/>
  <c r="E58" i="30"/>
  <c r="E60" i="21"/>
  <c r="E57" i="26"/>
  <c r="E61" i="26"/>
  <c r="C3" i="31"/>
  <c r="E61" i="29"/>
  <c r="E58" i="23"/>
  <c r="E57" i="13"/>
  <c r="E60" i="13"/>
  <c r="E57" i="24"/>
  <c r="E61" i="24"/>
  <c r="E57" i="15"/>
  <c r="E57" i="31"/>
  <c r="E61" i="31"/>
  <c r="E58" i="20"/>
  <c r="E61" i="20"/>
  <c r="C6" i="24"/>
  <c r="C5" i="24"/>
  <c r="D12" i="23"/>
  <c r="C8" i="23"/>
  <c r="C8" i="13"/>
  <c r="C7" i="13"/>
  <c r="E59" i="16"/>
  <c r="E58" i="17"/>
  <c r="E57" i="19"/>
  <c r="E61" i="19"/>
  <c r="E61" i="28"/>
  <c r="E57" i="28"/>
  <c r="E60" i="28"/>
  <c r="D12" i="31"/>
  <c r="C4" i="21"/>
  <c r="E59" i="25"/>
  <c r="E57" i="25"/>
  <c r="E60" i="30"/>
  <c r="E61" i="30"/>
  <c r="E62" i="10"/>
  <c r="E63" i="10" s="1"/>
  <c r="E64" i="10" s="1"/>
  <c r="E65" i="10" s="1"/>
  <c r="E66" i="10" s="1"/>
  <c r="E57" i="21"/>
  <c r="E59" i="26"/>
  <c r="E57" i="29"/>
  <c r="E58" i="29"/>
  <c r="E61" i="23"/>
  <c r="E57" i="23"/>
  <c r="E60" i="23"/>
  <c r="E59" i="24"/>
  <c r="E58" i="24"/>
  <c r="E59" i="14"/>
  <c r="E61" i="15"/>
  <c r="E58" i="31"/>
  <c r="E59" i="31"/>
  <c r="E60" i="20"/>
  <c r="C8" i="21"/>
  <c r="AM47" i="37"/>
  <c r="AM44" i="37"/>
  <c r="AM36" i="37"/>
  <c r="AM33" i="37"/>
  <c r="AM14" i="37"/>
  <c r="AM25" i="37"/>
  <c r="AM11" i="37"/>
  <c r="AM22" i="37"/>
  <c r="AM55" i="37"/>
  <c r="AM3" i="37"/>
  <c r="ET53" i="13" l="1"/>
  <c r="ET53" i="31"/>
  <c r="ET53" i="30"/>
  <c r="ET53" i="28"/>
  <c r="H60" i="28"/>
  <c r="H58" i="17"/>
  <c r="H58" i="20"/>
  <c r="H57" i="20"/>
  <c r="H59" i="28"/>
  <c r="H59" i="20"/>
  <c r="H58" i="28"/>
  <c r="H60" i="17"/>
  <c r="H57" i="28"/>
  <c r="H61" i="28"/>
  <c r="H62" i="28" s="1"/>
  <c r="H63" i="28" s="1"/>
  <c r="H64" i="28" s="1"/>
  <c r="H65" i="28" s="1"/>
  <c r="H66" i="28" s="1"/>
  <c r="H60" i="26"/>
  <c r="H61" i="17"/>
  <c r="H62" i="17" s="1"/>
  <c r="H63" i="17" s="1"/>
  <c r="H64" i="17" s="1"/>
  <c r="H65" i="17" s="1"/>
  <c r="H66" i="17" s="1"/>
  <c r="H61" i="30"/>
  <c r="H62" i="30" s="1"/>
  <c r="H63" i="30" s="1"/>
  <c r="H64" i="30" s="1"/>
  <c r="H65" i="30" s="1"/>
  <c r="H66" i="30" s="1"/>
  <c r="H60" i="20"/>
  <c r="H61" i="16"/>
  <c r="H62" i="16" s="1"/>
  <c r="H63" i="16" s="1"/>
  <c r="H64" i="16" s="1"/>
  <c r="H65" i="16" s="1"/>
  <c r="H66" i="16" s="1"/>
  <c r="H57" i="19"/>
  <c r="H59" i="19"/>
  <c r="H59" i="14"/>
  <c r="H58" i="19"/>
  <c r="H61" i="14"/>
  <c r="H62" i="14" s="1"/>
  <c r="H63" i="14" s="1"/>
  <c r="H64" i="14" s="1"/>
  <c r="H65" i="14" s="1"/>
  <c r="H66" i="14" s="1"/>
  <c r="H57" i="16"/>
  <c r="H59" i="16"/>
  <c r="H60" i="30"/>
  <c r="H60" i="25"/>
  <c r="H58" i="14"/>
  <c r="H58" i="25"/>
  <c r="H60" i="19"/>
  <c r="H59" i="30"/>
  <c r="H58" i="30"/>
  <c r="H57" i="26"/>
  <c r="H58" i="16"/>
  <c r="H60" i="14"/>
  <c r="H59" i="25"/>
  <c r="H61" i="19"/>
  <c r="H62" i="19" s="1"/>
  <c r="H63" i="19" s="1"/>
  <c r="H64" i="19" s="1"/>
  <c r="H65" i="19" s="1"/>
  <c r="H66" i="19" s="1"/>
  <c r="H60" i="16"/>
  <c r="H59" i="26"/>
  <c r="H57" i="30"/>
  <c r="H58" i="26"/>
  <c r="H61" i="15"/>
  <c r="H62" i="15" s="1"/>
  <c r="H63" i="15" s="1"/>
  <c r="H64" i="15" s="1"/>
  <c r="H65" i="15" s="1"/>
  <c r="H66" i="15" s="1"/>
  <c r="H59" i="15"/>
  <c r="H58" i="15"/>
  <c r="H58" i="13"/>
  <c r="H58" i="24"/>
  <c r="H58" i="29"/>
  <c r="H57" i="15"/>
  <c r="H60" i="29"/>
  <c r="H59" i="24"/>
  <c r="H58" i="23"/>
  <c r="H57" i="29"/>
  <c r="H60" i="24"/>
  <c r="H57" i="13"/>
  <c r="H60" i="15"/>
  <c r="H59" i="23"/>
  <c r="H57" i="23"/>
  <c r="H59" i="13"/>
  <c r="H57" i="24"/>
  <c r="H61" i="24"/>
  <c r="H62" i="24" s="1"/>
  <c r="H63" i="24" s="1"/>
  <c r="H64" i="24" s="1"/>
  <c r="H65" i="24" s="1"/>
  <c r="H66" i="24" s="1"/>
  <c r="H61" i="13"/>
  <c r="H62" i="13" s="1"/>
  <c r="H63" i="13" s="1"/>
  <c r="H64" i="13" s="1"/>
  <c r="H65" i="13" s="1"/>
  <c r="H66" i="13" s="1"/>
  <c r="H61" i="29"/>
  <c r="H60" i="13"/>
  <c r="H59" i="29"/>
  <c r="H60" i="23"/>
  <c r="H61" i="23"/>
  <c r="E62" i="28"/>
  <c r="E63" i="28" s="1"/>
  <c r="E64" i="28" s="1"/>
  <c r="E65" i="28" s="1"/>
  <c r="E66" i="28" s="1"/>
  <c r="E62" i="24"/>
  <c r="E63" i="24" s="1"/>
  <c r="E64" i="24" s="1"/>
  <c r="E65" i="24" s="1"/>
  <c r="E66" i="24" s="1"/>
  <c r="H58" i="31"/>
  <c r="E62" i="16"/>
  <c r="E63" i="16" s="1"/>
  <c r="E64" i="16" s="1"/>
  <c r="E65" i="16" s="1"/>
  <c r="E66" i="16" s="1"/>
  <c r="H58" i="21"/>
  <c r="E62" i="19"/>
  <c r="E63" i="19" s="1"/>
  <c r="E64" i="19" s="1"/>
  <c r="E65" i="19" s="1"/>
  <c r="E66" i="19" s="1"/>
  <c r="E62" i="25"/>
  <c r="E63" i="25" s="1"/>
  <c r="E64" i="25" s="1"/>
  <c r="E65" i="25" s="1"/>
  <c r="E66" i="25" s="1"/>
  <c r="H60" i="31"/>
  <c r="H57" i="21"/>
  <c r="E62" i="13"/>
  <c r="E63" i="13" s="1"/>
  <c r="E64" i="13" s="1"/>
  <c r="E65" i="13" s="1"/>
  <c r="E66" i="13" s="1"/>
  <c r="E62" i="21"/>
  <c r="E63" i="21" s="1"/>
  <c r="E64" i="21" s="1"/>
  <c r="E65" i="21" s="1"/>
  <c r="E66" i="21" s="1"/>
  <c r="E62" i="23"/>
  <c r="E63" i="23" s="1"/>
  <c r="E64" i="23" s="1"/>
  <c r="E65" i="23" s="1"/>
  <c r="E66" i="23" s="1"/>
  <c r="E62" i="30"/>
  <c r="E63" i="30" s="1"/>
  <c r="E64" i="30" s="1"/>
  <c r="E65" i="30" s="1"/>
  <c r="E66" i="30" s="1"/>
  <c r="E62" i="29"/>
  <c r="E63" i="29" s="1"/>
  <c r="E64" i="29" s="1"/>
  <c r="E65" i="29" s="1"/>
  <c r="E66" i="29" s="1"/>
  <c r="E62" i="26"/>
  <c r="E63" i="26" s="1"/>
  <c r="E64" i="26" s="1"/>
  <c r="E65" i="26" s="1"/>
  <c r="E66" i="26" s="1"/>
  <c r="H59" i="31"/>
  <c r="H61" i="31"/>
  <c r="E62" i="14"/>
  <c r="E63" i="14" s="1"/>
  <c r="E64" i="14" s="1"/>
  <c r="E65" i="14" s="1"/>
  <c r="E66" i="14" s="1"/>
  <c r="H60" i="21"/>
  <c r="E62" i="15"/>
  <c r="E63" i="15" s="1"/>
  <c r="E64" i="15" s="1"/>
  <c r="E65" i="15" s="1"/>
  <c r="E66" i="15" s="1"/>
  <c r="E62" i="20"/>
  <c r="E63" i="20" s="1"/>
  <c r="E64" i="20" s="1"/>
  <c r="E65" i="20" s="1"/>
  <c r="E66" i="20" s="1"/>
  <c r="E62" i="31"/>
  <c r="E63" i="31" s="1"/>
  <c r="E64" i="31" s="1"/>
  <c r="E65" i="31" s="1"/>
  <c r="E66" i="31" s="1"/>
  <c r="H57" i="31"/>
  <c r="H59" i="21"/>
  <c r="H61" i="21"/>
  <c r="E62" i="17"/>
  <c r="E63" i="17" s="1"/>
  <c r="E64" i="17" s="1"/>
  <c r="E65" i="17" s="1"/>
  <c r="E66" i="17" s="1"/>
  <c r="H62" i="29" l="1"/>
  <c r="H63" i="29" s="1"/>
  <c r="H64" i="29" s="1"/>
  <c r="H65" i="29" s="1"/>
  <c r="H66" i="29" s="1"/>
  <c r="H62" i="23"/>
  <c r="H63" i="23" s="1"/>
  <c r="H64" i="23" s="1"/>
  <c r="H65" i="23" s="1"/>
  <c r="H66" i="23" s="1"/>
  <c r="H62" i="21"/>
  <c r="H63" i="21" s="1"/>
  <c r="H64" i="21" s="1"/>
  <c r="H65" i="21" s="1"/>
  <c r="H66" i="21" s="1"/>
  <c r="H62" i="31"/>
  <c r="H63" i="31" s="1"/>
  <c r="H64" i="31" s="1"/>
  <c r="H65" i="31" s="1"/>
  <c r="H66" i="31" s="1"/>
  <c r="D2" i="88" l="1"/>
  <c r="B2" i="78" l="1"/>
  <c r="B4" i="78" l="1"/>
  <c r="AH20" i="78" l="1"/>
  <c r="AH17" i="78"/>
  <c r="CN16" i="88"/>
  <c r="CN20" i="88"/>
  <c r="D4" i="88"/>
  <c r="CN17" i="88"/>
  <c r="D5" i="88"/>
  <c r="CN19" i="88"/>
  <c r="D6" i="88"/>
  <c r="CN18" i="88"/>
  <c r="D3" i="88"/>
  <c r="AH19" i="78" l="1"/>
  <c r="B3" i="78"/>
  <c r="AH16" i="78"/>
  <c r="B6" i="78"/>
  <c r="B5" i="78"/>
  <c r="AH18" i="78"/>
  <c r="AH20" i="76"/>
  <c r="B3" i="76"/>
  <c r="AH17" i="76"/>
  <c r="B4" i="76"/>
  <c r="AH18" i="76"/>
  <c r="B5" i="76"/>
  <c r="B2" i="76"/>
  <c r="AH16" i="76"/>
  <c r="AH19" i="76"/>
  <c r="B6" i="76"/>
  <c r="AH18" i="85"/>
  <c r="D7" i="88" l="1"/>
  <c r="B7" i="76"/>
  <c r="B7" i="78"/>
  <c r="D4" i="91" l="1"/>
  <c r="B4" i="74"/>
  <c r="B4" i="87"/>
  <c r="D8" i="85"/>
  <c r="D8" i="75"/>
  <c r="AH20" i="86"/>
  <c r="B5" i="86"/>
  <c r="AH18" i="91"/>
  <c r="AH19" i="80"/>
  <c r="AH16" i="80"/>
  <c r="AH17" i="86"/>
  <c r="AH18" i="75"/>
  <c r="B5" i="91"/>
  <c r="B5" i="80"/>
  <c r="D7" i="84"/>
  <c r="B7" i="79"/>
  <c r="D7" i="77"/>
  <c r="B7" i="90"/>
  <c r="CN20" i="76"/>
  <c r="CN16" i="76"/>
  <c r="D3" i="76"/>
  <c r="CN16" i="89"/>
  <c r="D3" i="89"/>
  <c r="AH17" i="84"/>
  <c r="D3" i="80"/>
  <c r="AH20" i="84"/>
  <c r="CN20" i="89"/>
  <c r="CN18" i="80"/>
  <c r="B3" i="84"/>
  <c r="D4" i="77"/>
  <c r="D4" i="84"/>
  <c r="CN18" i="84"/>
  <c r="B4" i="79"/>
  <c r="AH20" i="79"/>
  <c r="AH17" i="79"/>
  <c r="CN18" i="77"/>
  <c r="AH16" i="90"/>
  <c r="AH19" i="90"/>
  <c r="B4" i="90"/>
  <c r="D9" i="90"/>
  <c r="D9" i="86"/>
  <c r="B9" i="81"/>
  <c r="AH17" i="71"/>
  <c r="AH20" i="71"/>
  <c r="B4" i="71"/>
  <c r="AH18" i="92"/>
  <c r="D4" i="81"/>
  <c r="CN18" i="81"/>
  <c r="D9" i="87"/>
  <c r="B9" i="71"/>
  <c r="D9" i="81"/>
  <c r="B9" i="92"/>
  <c r="CN20" i="85"/>
  <c r="CN16" i="85"/>
  <c r="D6" i="85"/>
  <c r="CN17" i="82"/>
  <c r="CN16" i="75"/>
  <c r="D6" i="82"/>
  <c r="CN19" i="82"/>
  <c r="D6" i="75"/>
  <c r="CN20" i="75"/>
  <c r="D9" i="85"/>
  <c r="D9" i="75"/>
  <c r="B6" i="80"/>
  <c r="B6" i="86"/>
  <c r="B6" i="91"/>
  <c r="CN17" i="91"/>
  <c r="D3" i="91"/>
  <c r="CN19" i="91"/>
  <c r="AH17" i="74"/>
  <c r="AH17" i="87"/>
  <c r="B3" i="87"/>
  <c r="AH20" i="87"/>
  <c r="AH20" i="74"/>
  <c r="B3" i="74"/>
  <c r="B8" i="74"/>
  <c r="B8" i="91"/>
  <c r="B8" i="86"/>
  <c r="B8" i="80"/>
  <c r="D3" i="74"/>
  <c r="D3" i="90"/>
  <c r="D3" i="86"/>
  <c r="D6" i="74"/>
  <c r="D6" i="90"/>
  <c r="D6" i="86"/>
  <c r="CN18" i="74"/>
  <c r="D4" i="90"/>
  <c r="CN19" i="90"/>
  <c r="CN17" i="90"/>
  <c r="D4" i="74"/>
  <c r="CN18" i="86"/>
  <c r="D4" i="86"/>
  <c r="D8" i="77"/>
  <c r="D8" i="84"/>
  <c r="B8" i="79"/>
  <c r="B8" i="90"/>
  <c r="B6" i="77"/>
  <c r="D6" i="78"/>
  <c r="B6" i="83"/>
  <c r="B6" i="89"/>
  <c r="D4" i="89"/>
  <c r="D4" i="76"/>
  <c r="CN18" i="76"/>
  <c r="AH18" i="84"/>
  <c r="CN18" i="89"/>
  <c r="B4" i="84"/>
  <c r="CN20" i="80"/>
  <c r="CN16" i="80"/>
  <c r="D4" i="80"/>
  <c r="D7" i="76"/>
  <c r="D7" i="89"/>
  <c r="D7" i="80"/>
  <c r="B7" i="84"/>
  <c r="B9" i="88"/>
  <c r="D9" i="79"/>
  <c r="D9" i="83"/>
  <c r="D9" i="71"/>
  <c r="D3" i="79"/>
  <c r="D3" i="83"/>
  <c r="B3" i="88"/>
  <c r="B2" i="88"/>
  <c r="D2" i="79"/>
  <c r="D2" i="83"/>
  <c r="B4" i="83"/>
  <c r="AH17" i="77"/>
  <c r="AH20" i="77"/>
  <c r="B4" i="77"/>
  <c r="CN20" i="78"/>
  <c r="D4" i="78"/>
  <c r="CN16" i="78"/>
  <c r="B4" i="89"/>
  <c r="AH16" i="89"/>
  <c r="AH19" i="89"/>
  <c r="AH18" i="83"/>
  <c r="D2" i="84"/>
  <c r="B2" i="79"/>
  <c r="D2" i="77"/>
  <c r="B2" i="90"/>
  <c r="D5" i="85"/>
  <c r="D5" i="82"/>
  <c r="D5" i="75"/>
  <c r="B9" i="80"/>
  <c r="B9" i="86"/>
  <c r="B9" i="91"/>
  <c r="AH18" i="82"/>
  <c r="D2" i="91"/>
  <c r="AH18" i="74"/>
  <c r="AH16" i="87"/>
  <c r="CN16" i="91"/>
  <c r="CN20" i="91"/>
  <c r="B2" i="74"/>
  <c r="AH19" i="87"/>
  <c r="B2" i="87"/>
  <c r="D5" i="74"/>
  <c r="D5" i="90"/>
  <c r="CN18" i="90"/>
  <c r="CN16" i="74"/>
  <c r="CN20" i="74"/>
  <c r="CN16" i="86"/>
  <c r="CN20" i="86"/>
  <c r="D5" i="86"/>
  <c r="D2" i="90"/>
  <c r="CN17" i="74"/>
  <c r="D2" i="74"/>
  <c r="CN19" i="74"/>
  <c r="CN16" i="90"/>
  <c r="CN20" i="90"/>
  <c r="D2" i="86"/>
  <c r="CN19" i="86"/>
  <c r="CN17" i="86"/>
  <c r="AH18" i="81"/>
  <c r="AH17" i="83"/>
  <c r="AH20" i="83"/>
  <c r="AH18" i="77"/>
  <c r="B7" i="77"/>
  <c r="D7" i="78"/>
  <c r="CN18" i="78"/>
  <c r="B7" i="83"/>
  <c r="B7" i="89"/>
  <c r="AH18" i="89"/>
  <c r="D5" i="79"/>
  <c r="D5" i="83"/>
  <c r="B5" i="88"/>
  <c r="AH19" i="71"/>
  <c r="B2" i="71"/>
  <c r="AH16" i="71"/>
  <c r="CN19" i="81"/>
  <c r="CN17" i="81"/>
  <c r="D2" i="81"/>
  <c r="B6" i="71"/>
  <c r="D6" i="81"/>
  <c r="D2" i="85"/>
  <c r="CN18" i="85"/>
  <c r="D2" i="82"/>
  <c r="CN17" i="75"/>
  <c r="CN16" i="82"/>
  <c r="CN20" i="82"/>
  <c r="CN19" i="75"/>
  <c r="D2" i="75"/>
  <c r="D4" i="85"/>
  <c r="D4" i="75"/>
  <c r="D4" i="82"/>
  <c r="AH19" i="91"/>
  <c r="B2" i="91"/>
  <c r="AH16" i="86"/>
  <c r="B2" i="86"/>
  <c r="AH19" i="86"/>
  <c r="AH16" i="91"/>
  <c r="AH18" i="80"/>
  <c r="B2" i="80"/>
  <c r="B3" i="80"/>
  <c r="B3" i="86"/>
  <c r="B3" i="91"/>
  <c r="D5" i="91"/>
  <c r="CN18" i="91"/>
  <c r="AH16" i="74"/>
  <c r="B5" i="87"/>
  <c r="B5" i="74"/>
  <c r="AH18" i="87"/>
  <c r="AH19" i="74"/>
  <c r="B9" i="74"/>
  <c r="B5" i="77"/>
  <c r="D5" i="78"/>
  <c r="B5" i="83"/>
  <c r="B5" i="89"/>
  <c r="D5" i="76"/>
  <c r="D5" i="80"/>
  <c r="D5" i="89"/>
  <c r="B5" i="84"/>
  <c r="D8" i="80"/>
  <c r="D8" i="89"/>
  <c r="D8" i="76"/>
  <c r="B8" i="84"/>
  <c r="AH19" i="79"/>
  <c r="AH16" i="79"/>
  <c r="CN19" i="84"/>
  <c r="D3" i="84"/>
  <c r="CN17" i="84"/>
  <c r="B3" i="79"/>
  <c r="AH17" i="90"/>
  <c r="D3" i="77"/>
  <c r="AH20" i="90"/>
  <c r="B3" i="90"/>
  <c r="CN17" i="77"/>
  <c r="CN16" i="77"/>
  <c r="CN20" i="77"/>
  <c r="D5" i="84"/>
  <c r="CN20" i="84"/>
  <c r="B5" i="79"/>
  <c r="AH18" i="79"/>
  <c r="CN16" i="84"/>
  <c r="D5" i="77"/>
  <c r="AH18" i="90"/>
  <c r="B5" i="90"/>
  <c r="CN18" i="83"/>
  <c r="AH18" i="88"/>
  <c r="B7" i="88"/>
  <c r="CN17" i="79"/>
  <c r="D7" i="79"/>
  <c r="D7" i="83"/>
  <c r="D9" i="88"/>
  <c r="B9" i="78"/>
  <c r="B9" i="76"/>
  <c r="D2" i="78"/>
  <c r="B2" i="77"/>
  <c r="B2" i="83"/>
  <c r="B2" i="89"/>
  <c r="CN18" i="87"/>
  <c r="AH18" i="71"/>
  <c r="B5" i="71"/>
  <c r="CN16" i="81"/>
  <c r="D5" i="81"/>
  <c r="CN20" i="81"/>
  <c r="B8" i="71"/>
  <c r="D8" i="81"/>
  <c r="D7" i="91"/>
  <c r="B7" i="87"/>
  <c r="B7" i="74"/>
  <c r="D7" i="74"/>
  <c r="D7" i="90"/>
  <c r="D7" i="86"/>
  <c r="B9" i="79"/>
  <c r="D9" i="84"/>
  <c r="D9" i="77"/>
  <c r="B9" i="90"/>
  <c r="D6" i="76"/>
  <c r="D6" i="89"/>
  <c r="D6" i="80"/>
  <c r="B6" i="84"/>
  <c r="CN16" i="79"/>
  <c r="CN20" i="79"/>
  <c r="CN17" i="83"/>
  <c r="AH16" i="88"/>
  <c r="D6" i="79"/>
  <c r="AH19" i="88"/>
  <c r="B6" i="88"/>
  <c r="CN19" i="83"/>
  <c r="D6" i="83"/>
  <c r="B3" i="71"/>
  <c r="D3" i="81"/>
  <c r="B7" i="71"/>
  <c r="D7" i="81"/>
  <c r="D3" i="85"/>
  <c r="CN17" i="85"/>
  <c r="D3" i="75"/>
  <c r="D3" i="82"/>
  <c r="CN18" i="92"/>
  <c r="CN18" i="82"/>
  <c r="CN18" i="75"/>
  <c r="D7" i="85"/>
  <c r="D7" i="82"/>
  <c r="D7" i="75"/>
  <c r="AH20" i="80"/>
  <c r="AH17" i="91"/>
  <c r="AH18" i="86"/>
  <c r="B4" i="86"/>
  <c r="AH17" i="80"/>
  <c r="B4" i="91"/>
  <c r="AH20" i="91"/>
  <c r="B4" i="80"/>
  <c r="B7" i="86"/>
  <c r="B7" i="80"/>
  <c r="B7" i="91"/>
  <c r="D6" i="91"/>
  <c r="B6" i="74"/>
  <c r="B6" i="87"/>
  <c r="D8" i="90"/>
  <c r="D8" i="86"/>
  <c r="AH19" i="77"/>
  <c r="B3" i="77"/>
  <c r="AH16" i="77"/>
  <c r="D3" i="78"/>
  <c r="CN17" i="78"/>
  <c r="B3" i="83"/>
  <c r="AH16" i="83"/>
  <c r="AH19" i="83"/>
  <c r="B3" i="89"/>
  <c r="AH20" i="89"/>
  <c r="AH17" i="89"/>
  <c r="B9" i="77"/>
  <c r="D9" i="78"/>
  <c r="B9" i="83"/>
  <c r="B9" i="89"/>
  <c r="D2" i="76"/>
  <c r="D2" i="89"/>
  <c r="CN19" i="89"/>
  <c r="CN17" i="89"/>
  <c r="CN19" i="76"/>
  <c r="CN17" i="76"/>
  <c r="AH19" i="84"/>
  <c r="B2" i="84"/>
  <c r="AH16" i="84"/>
  <c r="CN19" i="80"/>
  <c r="CN17" i="80"/>
  <c r="D2" i="80"/>
  <c r="D9" i="76"/>
  <c r="D9" i="80"/>
  <c r="B9" i="84"/>
  <c r="D9" i="89"/>
  <c r="B4" i="88"/>
  <c r="D4" i="79"/>
  <c r="D4" i="83"/>
  <c r="AH20" i="88"/>
  <c r="CN18" i="79"/>
  <c r="AH17" i="88"/>
  <c r="B8" i="88"/>
  <c r="CN16" i="83"/>
  <c r="D8" i="83"/>
  <c r="CN20" i="83"/>
  <c r="D8" i="79"/>
  <c r="CN18" i="71"/>
  <c r="B8" i="78"/>
  <c r="D8" i="88"/>
  <c r="B8" i="76"/>
  <c r="D6" i="84"/>
  <c r="B6" i="79"/>
  <c r="D6" i="77"/>
  <c r="B6" i="90"/>
  <c r="B8" i="83"/>
  <c r="D8" i="78"/>
  <c r="B8" i="77"/>
  <c r="B8" i="89"/>
  <c r="D8" i="74" l="1"/>
  <c r="B8" i="87"/>
  <c r="D8" i="91"/>
  <c r="D8" i="82"/>
  <c r="B5" i="85" l="1"/>
  <c r="B5" i="82"/>
  <c r="D5" i="92"/>
  <c r="B5" i="75"/>
  <c r="D2" i="71"/>
  <c r="CN17" i="87"/>
  <c r="B2" i="81"/>
  <c r="D2" i="87"/>
  <c r="AH16" i="92"/>
  <c r="CN19" i="71"/>
  <c r="CN19" i="87"/>
  <c r="AH20" i="81"/>
  <c r="AH19" i="92"/>
  <c r="AH17" i="81"/>
  <c r="B2" i="92"/>
  <c r="CN17" i="71"/>
  <c r="D9" i="74"/>
  <c r="D9" i="82"/>
  <c r="D9" i="91"/>
  <c r="B9" i="87"/>
  <c r="CN16" i="87"/>
  <c r="AH19" i="81"/>
  <c r="CN16" i="71"/>
  <c r="AH20" i="92"/>
  <c r="B3" i="92"/>
  <c r="CN20" i="71"/>
  <c r="CN20" i="87"/>
  <c r="AH16" i="81"/>
  <c r="AH17" i="92"/>
  <c r="D3" i="87"/>
  <c r="D3" i="71"/>
  <c r="B3" i="81"/>
  <c r="D8" i="92" l="1"/>
  <c r="B8" i="85"/>
  <c r="B8" i="82"/>
  <c r="B8" i="75"/>
  <c r="B3" i="85"/>
  <c r="D3" i="92"/>
  <c r="B3" i="82"/>
  <c r="B3" i="75"/>
  <c r="B7" i="92"/>
  <c r="D7" i="87"/>
  <c r="D7" i="71"/>
  <c r="B7" i="81"/>
  <c r="AH20" i="85"/>
  <c r="B4" i="85"/>
  <c r="AH17" i="85"/>
  <c r="B4" i="82"/>
  <c r="AH20" i="82"/>
  <c r="AH17" i="75"/>
  <c r="CN17" i="92"/>
  <c r="AH20" i="75"/>
  <c r="D4" i="92"/>
  <c r="AH17" i="82"/>
  <c r="CN19" i="92"/>
  <c r="B4" i="75"/>
  <c r="B7" i="85"/>
  <c r="D7" i="92"/>
  <c r="B7" i="82"/>
  <c r="B7" i="75"/>
  <c r="B6" i="85"/>
  <c r="B6" i="82"/>
  <c r="B6" i="75"/>
  <c r="D6" i="92"/>
  <c r="B6" i="92"/>
  <c r="D6" i="71"/>
  <c r="D6" i="87"/>
  <c r="B6" i="81"/>
  <c r="AH19" i="85"/>
  <c r="B2" i="85"/>
  <c r="AH16" i="85"/>
  <c r="B2" i="82"/>
  <c r="AH19" i="82"/>
  <c r="B2" i="75"/>
  <c r="AH16" i="82"/>
  <c r="D2" i="92"/>
  <c r="CN16" i="92"/>
  <c r="AH16" i="75"/>
  <c r="CN20" i="92"/>
  <c r="AH19" i="75"/>
  <c r="D5" i="87"/>
  <c r="B5" i="92"/>
  <c r="B5" i="81"/>
  <c r="D5" i="71"/>
  <c r="B9" i="85"/>
  <c r="D9" i="92"/>
  <c r="B9" i="75"/>
  <c r="B9" i="82"/>
  <c r="D4" i="71"/>
  <c r="B4" i="92"/>
  <c r="D4" i="87"/>
  <c r="B4" i="81"/>
  <c r="D8" i="87"/>
  <c r="D8" i="71"/>
  <c r="B8" i="81"/>
  <c r="B8" i="92"/>
  <c r="G28" i="6" l="1"/>
  <c r="G17" i="6"/>
  <c r="H35" i="6"/>
  <c r="G54" i="6"/>
  <c r="G60" i="6"/>
  <c r="H10" i="6"/>
  <c r="C22" i="93"/>
  <c r="H23" i="6"/>
  <c r="G40" i="6"/>
  <c r="H47" i="6"/>
  <c r="DX8" i="10"/>
  <c r="DX8" i="72"/>
  <c r="DX8" i="81"/>
  <c r="AM8" i="71"/>
  <c r="AM8" i="87"/>
  <c r="DX8" i="16"/>
  <c r="AM8" i="92"/>
  <c r="AM8" i="29"/>
  <c r="AM8" i="20"/>
  <c r="C20" i="93"/>
  <c r="G48" i="6"/>
  <c r="H22" i="6"/>
  <c r="G41" i="6"/>
  <c r="G15" i="6"/>
  <c r="H59" i="6"/>
  <c r="H33" i="6"/>
  <c r="H8" i="6"/>
  <c r="H54" i="6"/>
  <c r="G29" i="6"/>
  <c r="DX8" i="8"/>
  <c r="AM8" i="82"/>
  <c r="AM8" i="74"/>
  <c r="DX8" i="87"/>
  <c r="DX8" i="25"/>
  <c r="DX8" i="15"/>
  <c r="DX8" i="91"/>
  <c r="AM8" i="21"/>
  <c r="AM8" i="31"/>
  <c r="C8" i="93"/>
  <c r="G31" i="6"/>
  <c r="H26" i="6"/>
  <c r="G19" i="6"/>
  <c r="H50" i="6"/>
  <c r="H40" i="6"/>
  <c r="H56" i="6"/>
  <c r="H13" i="6"/>
  <c r="G8" i="6"/>
  <c r="G45" i="6"/>
  <c r="AM8" i="8"/>
  <c r="DX8" i="68"/>
  <c r="DX8" i="71"/>
  <c r="AM8" i="79"/>
  <c r="DX8" i="83"/>
  <c r="DX8" i="19"/>
  <c r="DX8" i="88"/>
  <c r="AM8" i="23"/>
  <c r="AM8" i="13"/>
  <c r="C14" i="93"/>
  <c r="G58" i="6"/>
  <c r="H27" i="6"/>
  <c r="H45" i="6"/>
  <c r="G51" i="6"/>
  <c r="H17" i="6"/>
  <c r="G11" i="6"/>
  <c r="G39" i="6"/>
  <c r="H32" i="6"/>
  <c r="G22" i="6"/>
  <c r="AM8" i="5"/>
  <c r="DX8" i="29"/>
  <c r="DX8" i="70"/>
  <c r="AM8" i="77"/>
  <c r="DX8" i="79"/>
  <c r="AM8" i="84"/>
  <c r="DX8" i="24"/>
  <c r="AM8" i="90"/>
  <c r="AM8" i="15"/>
  <c r="C6" i="93"/>
  <c r="G32" i="6"/>
  <c r="G44" i="6"/>
  <c r="G56" i="6"/>
  <c r="H38" i="6"/>
  <c r="H52" i="6"/>
  <c r="H25" i="6"/>
  <c r="H15" i="6"/>
  <c r="G20" i="6"/>
  <c r="G10" i="6"/>
  <c r="DX8" i="31"/>
  <c r="AM8" i="69"/>
  <c r="AM8" i="78"/>
  <c r="AM8" i="10"/>
  <c r="AM8" i="88"/>
  <c r="DX8" i="85"/>
  <c r="DX8" i="17"/>
  <c r="DX8" i="76"/>
  <c r="AM8" i="24"/>
  <c r="C24" i="93"/>
  <c r="H60" i="6"/>
  <c r="G26" i="6"/>
  <c r="H48" i="6"/>
  <c r="G52" i="6"/>
  <c r="G16" i="6"/>
  <c r="H34" i="6"/>
  <c r="H11" i="6"/>
  <c r="G42" i="6"/>
  <c r="H21" i="6"/>
  <c r="DX8" i="5"/>
  <c r="DX8" i="14"/>
  <c r="DX8" i="82"/>
  <c r="AM8" i="75"/>
  <c r="DX8" i="26"/>
  <c r="DX8" i="92"/>
  <c r="AM8" i="85"/>
  <c r="AM8" i="28"/>
  <c r="AM8" i="19"/>
  <c r="CN19" i="85" l="1"/>
  <c r="CN19" i="78"/>
  <c r="CN19" i="79" l="1"/>
  <c r="CN19" i="77"/>
  <c r="C87" i="4" l="1"/>
  <c r="C78" i="4"/>
  <c r="C60" i="4"/>
  <c r="C51" i="4"/>
  <c r="C42" i="4"/>
  <c r="C24" i="4"/>
  <c r="C15" i="4"/>
  <c r="C6" i="4"/>
  <c r="C33" i="4"/>
  <c r="C69" i="4"/>
  <c r="G6" i="4" l="1"/>
  <c r="H6" i="4"/>
  <c r="F6" i="4"/>
  <c r="I6" i="4"/>
  <c r="I51" i="4" l="1"/>
  <c r="F75" i="4"/>
  <c r="G92" i="4"/>
  <c r="B8" i="21"/>
  <c r="H51" i="4"/>
  <c r="I20" i="4"/>
  <c r="F40" i="4"/>
  <c r="F90" i="4"/>
  <c r="F80" i="4"/>
  <c r="H20" i="4"/>
  <c r="I92" i="4"/>
  <c r="I82" i="4"/>
  <c r="H75" i="4"/>
  <c r="H53" i="4"/>
  <c r="G73" i="4"/>
  <c r="G51" i="4"/>
  <c r="F34" i="4"/>
  <c r="F89" i="4"/>
  <c r="CN18" i="5" s="1"/>
  <c r="F79" i="4"/>
  <c r="H18" i="4"/>
  <c r="I91" i="4"/>
  <c r="I78" i="4"/>
  <c r="H73" i="4"/>
  <c r="H57" i="4"/>
  <c r="G74" i="4"/>
  <c r="G53" i="4"/>
  <c r="F33" i="4"/>
  <c r="F87" i="4"/>
  <c r="F28" i="4"/>
  <c r="G28" i="4"/>
  <c r="I88" i="4"/>
  <c r="I81" i="4"/>
  <c r="H74" i="4"/>
  <c r="H52" i="4"/>
  <c r="G70" i="4"/>
  <c r="G57" i="4"/>
  <c r="F76" i="4"/>
  <c r="F58" i="4"/>
  <c r="F22" i="4"/>
  <c r="I40" i="4"/>
  <c r="I90" i="4"/>
  <c r="I80" i="4"/>
  <c r="H70" i="4"/>
  <c r="H85" i="4"/>
  <c r="G69" i="4"/>
  <c r="G55" i="4"/>
  <c r="I10" i="4"/>
  <c r="H10" i="4"/>
  <c r="H65" i="4"/>
  <c r="I12" i="4"/>
  <c r="I62" i="4"/>
  <c r="H44" i="4"/>
  <c r="G44" i="4"/>
  <c r="I46" i="4"/>
  <c r="H47" i="4"/>
  <c r="G47" i="4"/>
  <c r="F46" i="4"/>
  <c r="G12" i="4"/>
  <c r="H48" i="4"/>
  <c r="G48" i="4"/>
  <c r="H66" i="4"/>
  <c r="I61" i="4"/>
  <c r="F47" i="4"/>
  <c r="F64" i="4"/>
  <c r="H49" i="4"/>
  <c r="G49" i="4"/>
  <c r="I19" i="4"/>
  <c r="F15" i="4"/>
  <c r="G15" i="4"/>
  <c r="I27" i="4"/>
  <c r="G30" i="4"/>
  <c r="I26" i="4"/>
  <c r="F30" i="4"/>
  <c r="H27" i="4"/>
  <c r="H24" i="4"/>
  <c r="G29" i="4"/>
  <c r="I39" i="4"/>
  <c r="H60" i="4"/>
  <c r="F7" i="4"/>
  <c r="F37" i="4"/>
  <c r="H35" i="4"/>
  <c r="I36" i="4"/>
  <c r="I38" i="4"/>
  <c r="H38" i="4"/>
  <c r="F54" i="4"/>
  <c r="I34" i="4"/>
  <c r="I89" i="4"/>
  <c r="I79" i="4"/>
  <c r="H69" i="4"/>
  <c r="H82" i="4"/>
  <c r="G72" i="4"/>
  <c r="G52" i="4"/>
  <c r="F73" i="4"/>
  <c r="F51" i="4"/>
  <c r="F20" i="4"/>
  <c r="I33" i="4"/>
  <c r="I87" i="4"/>
  <c r="I28" i="4"/>
  <c r="H72" i="4"/>
  <c r="H78" i="4"/>
  <c r="G71" i="4"/>
  <c r="G85" i="4"/>
  <c r="F74" i="4"/>
  <c r="F53" i="4"/>
  <c r="F18" i="4"/>
  <c r="I76" i="4"/>
  <c r="L76" i="4" s="1"/>
  <c r="I58" i="4"/>
  <c r="I22" i="4"/>
  <c r="H71" i="4"/>
  <c r="H79" i="4"/>
  <c r="G94" i="4"/>
  <c r="G84" i="4"/>
  <c r="F70" i="4"/>
  <c r="F57" i="4"/>
  <c r="F17" i="4"/>
  <c r="I75" i="4"/>
  <c r="I54" i="4"/>
  <c r="I21" i="4"/>
  <c r="H94" i="4"/>
  <c r="H28" i="4"/>
  <c r="G93" i="4"/>
  <c r="G83" i="4"/>
  <c r="B2" i="17"/>
  <c r="D2" i="10"/>
  <c r="B2" i="31"/>
  <c r="F10" i="4"/>
  <c r="F9" i="4"/>
  <c r="F8" i="4"/>
  <c r="F63" i="4"/>
  <c r="I49" i="4"/>
  <c r="F67" i="4"/>
  <c r="G67" i="4"/>
  <c r="I43" i="4"/>
  <c r="I66" i="4"/>
  <c r="G11" i="4"/>
  <c r="F11" i="4"/>
  <c r="F44" i="4"/>
  <c r="I67" i="4"/>
  <c r="L67" i="4" s="1"/>
  <c r="H45" i="4"/>
  <c r="G45" i="4"/>
  <c r="F49" i="4"/>
  <c r="H11" i="4"/>
  <c r="I11" i="4"/>
  <c r="I63" i="4"/>
  <c r="H43" i="4"/>
  <c r="G43" i="4"/>
  <c r="F19" i="4"/>
  <c r="H15" i="4"/>
  <c r="I15" i="4"/>
  <c r="I25" i="4"/>
  <c r="F29" i="4"/>
  <c r="G26" i="4"/>
  <c r="H25" i="4"/>
  <c r="G31" i="4"/>
  <c r="I30" i="4"/>
  <c r="F31" i="4"/>
  <c r="H39" i="4"/>
  <c r="F60" i="4"/>
  <c r="D2" i="69" s="1"/>
  <c r="H7" i="4"/>
  <c r="I35" i="4"/>
  <c r="G37" i="4"/>
  <c r="H36" i="4"/>
  <c r="F38" i="4"/>
  <c r="H56" i="4"/>
  <c r="F69" i="4"/>
  <c r="I73" i="4"/>
  <c r="H93" i="4"/>
  <c r="H17" i="4"/>
  <c r="G82" i="4"/>
  <c r="F72" i="4"/>
  <c r="F52" i="4"/>
  <c r="H55" i="4"/>
  <c r="I74" i="4"/>
  <c r="I53" i="4"/>
  <c r="I18" i="4"/>
  <c r="H92" i="4"/>
  <c r="G20" i="4"/>
  <c r="G91" i="4"/>
  <c r="G78" i="4"/>
  <c r="F71" i="4"/>
  <c r="F85" i="4"/>
  <c r="H84" i="4"/>
  <c r="I70" i="4"/>
  <c r="I57" i="4"/>
  <c r="I17" i="4"/>
  <c r="H91" i="4"/>
  <c r="G17" i="4"/>
  <c r="G88" i="4"/>
  <c r="G81" i="4"/>
  <c r="F94" i="4"/>
  <c r="F84" i="4"/>
  <c r="H83" i="4"/>
  <c r="I69" i="4"/>
  <c r="I55" i="4"/>
  <c r="H89" i="4"/>
  <c r="H88" i="4"/>
  <c r="G40" i="4"/>
  <c r="G90" i="4"/>
  <c r="G80" i="4"/>
  <c r="I9" i="4"/>
  <c r="I8" i="4"/>
  <c r="H9" i="4"/>
  <c r="H8" i="4"/>
  <c r="F48" i="4"/>
  <c r="I44" i="4"/>
  <c r="H61" i="4"/>
  <c r="G61" i="4"/>
  <c r="F62" i="4"/>
  <c r="I64" i="4"/>
  <c r="H64" i="4"/>
  <c r="H67" i="4"/>
  <c r="I42" i="4"/>
  <c r="F65" i="4"/>
  <c r="G65" i="4"/>
  <c r="H12" i="4"/>
  <c r="I13" i="4"/>
  <c r="G64" i="4"/>
  <c r="I48" i="4"/>
  <c r="F66" i="4"/>
  <c r="G66" i="4"/>
  <c r="H13" i="4"/>
  <c r="G19" i="4"/>
  <c r="F16" i="4"/>
  <c r="G16" i="4"/>
  <c r="H26" i="4"/>
  <c r="F24" i="4"/>
  <c r="G27" i="4"/>
  <c r="I29" i="4"/>
  <c r="F27" i="4"/>
  <c r="H30" i="4"/>
  <c r="F26" i="4"/>
  <c r="F39" i="4"/>
  <c r="I7" i="4"/>
  <c r="G60" i="4"/>
  <c r="F35" i="4"/>
  <c r="I37" i="4"/>
  <c r="G36" i="4"/>
  <c r="G38" i="4"/>
  <c r="G56" i="4"/>
  <c r="F21" i="4"/>
  <c r="F55" i="4"/>
  <c r="F93" i="4"/>
  <c r="F83" i="4"/>
  <c r="H81" i="4"/>
  <c r="I72" i="4"/>
  <c r="I52" i="4"/>
  <c r="H40" i="4"/>
  <c r="H90" i="4"/>
  <c r="G34" i="4"/>
  <c r="G89" i="4"/>
  <c r="G79" i="4"/>
  <c r="F92" i="4"/>
  <c r="F82" i="4"/>
  <c r="H80" i="4"/>
  <c r="I71" i="4"/>
  <c r="I85" i="4"/>
  <c r="L85" i="4" s="1"/>
  <c r="H34" i="4"/>
  <c r="H87" i="4"/>
  <c r="G33" i="4"/>
  <c r="G87" i="4"/>
  <c r="G22" i="4"/>
  <c r="F91" i="4"/>
  <c r="F78" i="4"/>
  <c r="H22" i="4"/>
  <c r="I94" i="4"/>
  <c r="L94" i="4" s="1"/>
  <c r="I84" i="4"/>
  <c r="H33" i="4"/>
  <c r="H58" i="4"/>
  <c r="G76" i="4"/>
  <c r="G58" i="4"/>
  <c r="G21" i="4"/>
  <c r="F88" i="4"/>
  <c r="F81" i="4"/>
  <c r="H21" i="4"/>
  <c r="I93" i="4"/>
  <c r="I83" i="4"/>
  <c r="H76" i="4"/>
  <c r="H54" i="4"/>
  <c r="G75" i="4"/>
  <c r="G54" i="4"/>
  <c r="G18" i="4"/>
  <c r="G10" i="4"/>
  <c r="G9" i="4"/>
  <c r="G8" i="4"/>
  <c r="F45" i="4"/>
  <c r="I65" i="4"/>
  <c r="H46" i="4"/>
  <c r="G46" i="4"/>
  <c r="F43" i="4"/>
  <c r="H42" i="4"/>
  <c r="G42" i="4"/>
  <c r="F61" i="4"/>
  <c r="I47" i="4"/>
  <c r="H63" i="4"/>
  <c r="G63" i="4"/>
  <c r="F13" i="4"/>
  <c r="F12" i="4"/>
  <c r="F42" i="4"/>
  <c r="D2" i="24" s="1"/>
  <c r="I45" i="4"/>
  <c r="H62" i="4"/>
  <c r="G62" i="4"/>
  <c r="G13" i="4"/>
  <c r="H19" i="4"/>
  <c r="H16" i="4"/>
  <c r="I16" i="4"/>
  <c r="H29" i="4"/>
  <c r="I31" i="4"/>
  <c r="G25" i="4"/>
  <c r="I24" i="4"/>
  <c r="F25" i="4"/>
  <c r="H31" i="4"/>
  <c r="G24" i="4"/>
  <c r="I60" i="4"/>
  <c r="G39" i="4"/>
  <c r="G7" i="4"/>
  <c r="H37" i="4"/>
  <c r="G35" i="4"/>
  <c r="F36" i="4"/>
  <c r="I56" i="4"/>
  <c r="F56" i="4"/>
  <c r="AR52" i="37"/>
  <c r="B8" i="8" l="1"/>
  <c r="L58" i="4"/>
  <c r="L57" i="4"/>
  <c r="L84" i="4"/>
  <c r="L8" i="7"/>
  <c r="L31" i="4"/>
  <c r="L30" i="4"/>
  <c r="L75" i="4"/>
  <c r="L93" i="4"/>
  <c r="L66" i="4"/>
  <c r="E8" i="7"/>
  <c r="L56" i="4"/>
  <c r="L65" i="4"/>
  <c r="L34" i="7"/>
  <c r="E34" i="7"/>
  <c r="D8" i="25"/>
  <c r="D8" i="15"/>
  <c r="D8" i="31"/>
  <c r="L21" i="4"/>
  <c r="L64" i="4"/>
  <c r="L74" i="4"/>
  <c r="L92" i="4"/>
  <c r="L22" i="4"/>
  <c r="L20" i="4"/>
  <c r="L60" i="4"/>
  <c r="L16" i="4"/>
  <c r="L6" i="4"/>
  <c r="L37" i="4"/>
  <c r="L19" i="4"/>
  <c r="L24" i="4"/>
  <c r="L72" i="4"/>
  <c r="AH18" i="28"/>
  <c r="D5" i="21"/>
  <c r="CN20" i="21"/>
  <c r="D5" i="16"/>
  <c r="CN16" i="21"/>
  <c r="B5" i="23"/>
  <c r="CN20" i="16"/>
  <c r="B5" i="28"/>
  <c r="CN16" i="16"/>
  <c r="CN20" i="9"/>
  <c r="D5" i="9"/>
  <c r="AH18" i="23"/>
  <c r="CN16" i="9"/>
  <c r="L45" i="4"/>
  <c r="V37" i="7"/>
  <c r="V11" i="7"/>
  <c r="D2" i="20"/>
  <c r="AH16" i="29"/>
  <c r="B2" i="29"/>
  <c r="AH19" i="29"/>
  <c r="B2" i="72"/>
  <c r="CN16" i="20"/>
  <c r="AH19" i="72"/>
  <c r="AH19" i="16"/>
  <c r="B2" i="16"/>
  <c r="CN20" i="20"/>
  <c r="AH16" i="72"/>
  <c r="AH16" i="10"/>
  <c r="B2" i="10"/>
  <c r="AH19" i="10"/>
  <c r="AH16" i="16"/>
  <c r="L71" i="4"/>
  <c r="D7" i="20"/>
  <c r="CN18" i="20"/>
  <c r="B7" i="16"/>
  <c r="AH18" i="10"/>
  <c r="B7" i="29"/>
  <c r="AH18" i="29"/>
  <c r="B7" i="10"/>
  <c r="AH18" i="16"/>
  <c r="AH18" i="72"/>
  <c r="B7" i="72"/>
  <c r="CN17" i="21"/>
  <c r="D4" i="21"/>
  <c r="D4" i="9"/>
  <c r="CN19" i="9"/>
  <c r="CN19" i="21"/>
  <c r="B4" i="23"/>
  <c r="CN19" i="16"/>
  <c r="AH19" i="23"/>
  <c r="AH16" i="23"/>
  <c r="CN17" i="16"/>
  <c r="D4" i="16"/>
  <c r="AH16" i="28"/>
  <c r="AH19" i="28"/>
  <c r="CN17" i="9"/>
  <c r="B4" i="28"/>
  <c r="B4" i="20"/>
  <c r="D4" i="67"/>
  <c r="D4" i="14"/>
  <c r="B4" i="25"/>
  <c r="D4" i="30"/>
  <c r="CN18" i="67"/>
  <c r="AH16" i="68"/>
  <c r="AH19" i="68"/>
  <c r="B3" i="13"/>
  <c r="D3" i="23"/>
  <c r="B3" i="68"/>
  <c r="AH17" i="13"/>
  <c r="D3" i="8"/>
  <c r="CN19" i="8"/>
  <c r="CN19" i="23"/>
  <c r="CN17" i="8"/>
  <c r="CN17" i="23"/>
  <c r="AH20" i="13"/>
  <c r="B3" i="19"/>
  <c r="AH19" i="19"/>
  <c r="AH16" i="19"/>
  <c r="D8" i="72"/>
  <c r="B8" i="69"/>
  <c r="D8" i="68"/>
  <c r="B8" i="70"/>
  <c r="B8" i="67"/>
  <c r="B8" i="29"/>
  <c r="B8" i="16"/>
  <c r="B8" i="72"/>
  <c r="B8" i="10"/>
  <c r="D8" i="20"/>
  <c r="L70" i="4"/>
  <c r="L18" i="4"/>
  <c r="CN18" i="13"/>
  <c r="CN19" i="26"/>
  <c r="CN17" i="26"/>
  <c r="D3" i="26"/>
  <c r="AH19" i="9"/>
  <c r="B3" i="9"/>
  <c r="CN17" i="17"/>
  <c r="CN19" i="17"/>
  <c r="D3" i="13"/>
  <c r="AH16" i="9"/>
  <c r="B3" i="30"/>
  <c r="AH19" i="30"/>
  <c r="AH16" i="30"/>
  <c r="D3" i="17"/>
  <c r="AH20" i="28"/>
  <c r="AH20" i="23"/>
  <c r="D7" i="9"/>
  <c r="D7" i="21"/>
  <c r="AH17" i="23"/>
  <c r="B7" i="28"/>
  <c r="B7" i="23"/>
  <c r="D7" i="16"/>
  <c r="CN18" i="16"/>
  <c r="AH17" i="28"/>
  <c r="CN18" i="9"/>
  <c r="CN18" i="21"/>
  <c r="AH16" i="25"/>
  <c r="D7" i="30"/>
  <c r="D7" i="67"/>
  <c r="AH19" i="25"/>
  <c r="AH17" i="20"/>
  <c r="B7" i="20"/>
  <c r="CN19" i="14"/>
  <c r="AH20" i="20"/>
  <c r="CN19" i="30"/>
  <c r="B7" i="25"/>
  <c r="D7" i="14"/>
  <c r="CN17" i="14"/>
  <c r="CN17" i="30"/>
  <c r="B6" i="13"/>
  <c r="D6" i="23"/>
  <c r="D6" i="8"/>
  <c r="B6" i="68"/>
  <c r="B6" i="19"/>
  <c r="L39" i="7"/>
  <c r="L13" i="7"/>
  <c r="L11" i="4"/>
  <c r="D9" i="68"/>
  <c r="B9" i="70"/>
  <c r="B9" i="69"/>
  <c r="B9" i="67"/>
  <c r="D9" i="72"/>
  <c r="D5" i="69"/>
  <c r="B5" i="17"/>
  <c r="D5" i="24"/>
  <c r="E11" i="7"/>
  <c r="B5" i="31"/>
  <c r="E37" i="7"/>
  <c r="D5" i="10"/>
  <c r="AH18" i="68"/>
  <c r="AH18" i="19"/>
  <c r="CN18" i="23"/>
  <c r="B4" i="13"/>
  <c r="B4" i="68"/>
  <c r="B4" i="19"/>
  <c r="D4" i="8"/>
  <c r="D4" i="23"/>
  <c r="AH18" i="13"/>
  <c r="CN18" i="8"/>
  <c r="D7" i="15"/>
  <c r="B7" i="8"/>
  <c r="D7" i="31"/>
  <c r="B7" i="21"/>
  <c r="D7" i="25"/>
  <c r="D7" i="23"/>
  <c r="B7" i="68"/>
  <c r="D7" i="8"/>
  <c r="B7" i="13"/>
  <c r="B7" i="19"/>
  <c r="L89" i="4"/>
  <c r="L38" i="4"/>
  <c r="CN17" i="69"/>
  <c r="CN19" i="69"/>
  <c r="D3" i="10"/>
  <c r="CN17" i="10"/>
  <c r="E35" i="7"/>
  <c r="AH19" i="31"/>
  <c r="D3" i="69"/>
  <c r="CN16" i="24"/>
  <c r="AH16" i="31"/>
  <c r="CN19" i="10"/>
  <c r="B3" i="17"/>
  <c r="CN20" i="24"/>
  <c r="AH17" i="17"/>
  <c r="D3" i="24"/>
  <c r="AH20" i="17"/>
  <c r="B3" i="31"/>
  <c r="E9" i="7"/>
  <c r="D7" i="5"/>
  <c r="D7" i="29"/>
  <c r="O13" i="7"/>
  <c r="O39" i="7"/>
  <c r="D7" i="70"/>
  <c r="B7" i="24"/>
  <c r="B7" i="15"/>
  <c r="L62" i="4"/>
  <c r="L10" i="4"/>
  <c r="L12" i="7"/>
  <c r="L38" i="7"/>
  <c r="L80" i="4"/>
  <c r="D9" i="17"/>
  <c r="D9" i="13"/>
  <c r="B9" i="9"/>
  <c r="B9" i="30"/>
  <c r="D9" i="26"/>
  <c r="L78" i="4"/>
  <c r="B4" i="26"/>
  <c r="B4" i="14"/>
  <c r="B4" i="5"/>
  <c r="D4" i="28"/>
  <c r="D4" i="19"/>
  <c r="CN17" i="67"/>
  <c r="B3" i="25"/>
  <c r="B3" i="20"/>
  <c r="D3" i="67"/>
  <c r="CN19" i="67"/>
  <c r="D3" i="30"/>
  <c r="D3" i="14"/>
  <c r="CN16" i="5"/>
  <c r="CN16" i="70"/>
  <c r="D2" i="70"/>
  <c r="CN20" i="29"/>
  <c r="B2" i="15"/>
  <c r="CN20" i="5"/>
  <c r="AH18" i="15"/>
  <c r="O8" i="7"/>
  <c r="B2" i="24"/>
  <c r="AH16" i="24"/>
  <c r="AH19" i="24"/>
  <c r="D2" i="5"/>
  <c r="CN16" i="29"/>
  <c r="CN20" i="70"/>
  <c r="D2" i="29"/>
  <c r="O34" i="7"/>
  <c r="AH18" i="26"/>
  <c r="B6" i="5"/>
  <c r="CN20" i="28"/>
  <c r="D6" i="19"/>
  <c r="B6" i="26"/>
  <c r="D6" i="28"/>
  <c r="AH18" i="14"/>
  <c r="CN18" i="19"/>
  <c r="CN16" i="28"/>
  <c r="B6" i="14"/>
  <c r="AH18" i="5"/>
  <c r="L52" i="4"/>
  <c r="B8" i="26"/>
  <c r="D8" i="19"/>
  <c r="B8" i="14"/>
  <c r="D8" i="28"/>
  <c r="B8" i="5"/>
  <c r="D2" i="30"/>
  <c r="D2" i="14"/>
  <c r="CN20" i="67"/>
  <c r="B2" i="25"/>
  <c r="B2" i="20"/>
  <c r="D2" i="67"/>
  <c r="CN16" i="67"/>
  <c r="L48" i="4"/>
  <c r="V40" i="7"/>
  <c r="V14" i="7"/>
  <c r="L55" i="4"/>
  <c r="B9" i="26"/>
  <c r="D9" i="19"/>
  <c r="B9" i="5"/>
  <c r="B9" i="14"/>
  <c r="D9" i="28"/>
  <c r="L53" i="4"/>
  <c r="CN17" i="25"/>
  <c r="CN20" i="31"/>
  <c r="D5" i="25"/>
  <c r="D5" i="31"/>
  <c r="B5" i="21"/>
  <c r="CN19" i="25"/>
  <c r="B5" i="8"/>
  <c r="AH18" i="21"/>
  <c r="AH16" i="8"/>
  <c r="D5" i="15"/>
  <c r="AH19" i="8"/>
  <c r="CN16" i="31"/>
  <c r="L73" i="4"/>
  <c r="AH20" i="70"/>
  <c r="AH17" i="69"/>
  <c r="AH19" i="67"/>
  <c r="D2" i="68"/>
  <c r="AH20" i="69"/>
  <c r="D2" i="72"/>
  <c r="AH17" i="70"/>
  <c r="CN18" i="68"/>
  <c r="B2" i="67"/>
  <c r="B2" i="70"/>
  <c r="B2" i="69"/>
  <c r="AH16" i="67"/>
  <c r="L25" i="4"/>
  <c r="L49" i="4"/>
  <c r="V41" i="7"/>
  <c r="V15" i="7"/>
  <c r="CN18" i="10"/>
  <c r="D6" i="10"/>
  <c r="E38" i="7"/>
  <c r="AH18" i="31"/>
  <c r="AH18" i="17"/>
  <c r="B6" i="31"/>
  <c r="D6" i="24"/>
  <c r="D6" i="69"/>
  <c r="B6" i="17"/>
  <c r="E12" i="7"/>
  <c r="B8" i="9"/>
  <c r="D8" i="26"/>
  <c r="B8" i="30"/>
  <c r="D8" i="17"/>
  <c r="D8" i="13"/>
  <c r="L28" i="4"/>
  <c r="B2" i="9"/>
  <c r="D2" i="17"/>
  <c r="CN16" i="17"/>
  <c r="AH20" i="30"/>
  <c r="AH17" i="30"/>
  <c r="CN20" i="13"/>
  <c r="D2" i="26"/>
  <c r="CN20" i="26"/>
  <c r="CN16" i="26"/>
  <c r="CN20" i="17"/>
  <c r="CN16" i="13"/>
  <c r="B2" i="30"/>
  <c r="AH17" i="9"/>
  <c r="D2" i="13"/>
  <c r="AH20" i="9"/>
  <c r="L34" i="4"/>
  <c r="L36" i="4"/>
  <c r="L27" i="4"/>
  <c r="L61" i="4"/>
  <c r="V38" i="7"/>
  <c r="V12" i="7"/>
  <c r="L46" i="4"/>
  <c r="L40" i="7"/>
  <c r="L14" i="7"/>
  <c r="L12" i="4"/>
  <c r="L90" i="4"/>
  <c r="D9" i="31"/>
  <c r="B9" i="8"/>
  <c r="D9" i="25"/>
  <c r="B9" i="21"/>
  <c r="D9" i="15"/>
  <c r="AH16" i="20"/>
  <c r="D6" i="14"/>
  <c r="CN16" i="30"/>
  <c r="CN20" i="14"/>
  <c r="CN20" i="30"/>
  <c r="AH19" i="20"/>
  <c r="D6" i="67"/>
  <c r="D6" i="30"/>
  <c r="B6" i="25"/>
  <c r="B6" i="20"/>
  <c r="AH17" i="25"/>
  <c r="AH20" i="25"/>
  <c r="CN16" i="14"/>
  <c r="L91" i="4"/>
  <c r="B3" i="23"/>
  <c r="D3" i="21"/>
  <c r="D3" i="9"/>
  <c r="B3" i="28"/>
  <c r="D3" i="16"/>
  <c r="B4" i="16"/>
  <c r="B4" i="10"/>
  <c r="B4" i="72"/>
  <c r="B4" i="29"/>
  <c r="D4" i="20"/>
  <c r="V13" i="7"/>
  <c r="V39" i="7"/>
  <c r="L47" i="4"/>
  <c r="D3" i="70"/>
  <c r="CN19" i="70"/>
  <c r="CN17" i="5"/>
  <c r="AH20" i="15"/>
  <c r="D3" i="29"/>
  <c r="CN17" i="29"/>
  <c r="CN19" i="29"/>
  <c r="O35" i="7"/>
  <c r="AH17" i="15"/>
  <c r="CN19" i="5"/>
  <c r="B3" i="15"/>
  <c r="D3" i="5"/>
  <c r="AH20" i="24"/>
  <c r="O9" i="7"/>
  <c r="B3" i="24"/>
  <c r="AH17" i="24"/>
  <c r="CN17" i="70"/>
  <c r="CN18" i="29"/>
  <c r="B5" i="24"/>
  <c r="AH19" i="15"/>
  <c r="AH18" i="24"/>
  <c r="CN18" i="70"/>
  <c r="O11" i="7"/>
  <c r="B5" i="15"/>
  <c r="D5" i="70"/>
  <c r="AH16" i="15"/>
  <c r="D5" i="29"/>
  <c r="D5" i="5"/>
  <c r="O37" i="7"/>
  <c r="AH17" i="10"/>
  <c r="AH20" i="10"/>
  <c r="B5" i="10"/>
  <c r="CN17" i="20"/>
  <c r="CN19" i="20"/>
  <c r="AH20" i="16"/>
  <c r="B5" i="29"/>
  <c r="AH17" i="72"/>
  <c r="B5" i="16"/>
  <c r="D5" i="20"/>
  <c r="AH17" i="29"/>
  <c r="B5" i="72"/>
  <c r="AH17" i="16"/>
  <c r="AH20" i="72"/>
  <c r="AH20" i="29"/>
  <c r="B6" i="10"/>
  <c r="B6" i="72"/>
  <c r="B6" i="16"/>
  <c r="B6" i="29"/>
  <c r="D6" i="20"/>
  <c r="D6" i="26"/>
  <c r="B6" i="9"/>
  <c r="B6" i="30"/>
  <c r="D6" i="13"/>
  <c r="AH18" i="9"/>
  <c r="D6" i="17"/>
  <c r="L9" i="7"/>
  <c r="L35" i="7"/>
  <c r="L7" i="4"/>
  <c r="AH18" i="25"/>
  <c r="D5" i="67"/>
  <c r="D5" i="30"/>
  <c r="B5" i="25"/>
  <c r="CN18" i="14"/>
  <c r="AH18" i="20"/>
  <c r="B5" i="20"/>
  <c r="D5" i="14"/>
  <c r="CN18" i="30"/>
  <c r="B7" i="69"/>
  <c r="B7" i="67"/>
  <c r="D7" i="72"/>
  <c r="B7" i="70"/>
  <c r="D7" i="68"/>
  <c r="V10" i="7"/>
  <c r="L44" i="4"/>
  <c r="V36" i="7"/>
  <c r="L8" i="4"/>
  <c r="L10" i="7"/>
  <c r="L36" i="7"/>
  <c r="L69" i="4"/>
  <c r="L17" i="4"/>
  <c r="B9" i="10"/>
  <c r="B9" i="72"/>
  <c r="D9" i="20"/>
  <c r="B9" i="29"/>
  <c r="B9" i="16"/>
  <c r="D2" i="15"/>
  <c r="CN19" i="31"/>
  <c r="B2" i="8"/>
  <c r="CN17" i="31"/>
  <c r="AH17" i="21"/>
  <c r="D2" i="25"/>
  <c r="D2" i="31"/>
  <c r="AH20" i="21"/>
  <c r="B2" i="21"/>
  <c r="CN19" i="15"/>
  <c r="CN17" i="15"/>
  <c r="CN18" i="25"/>
  <c r="L15" i="4"/>
  <c r="B9" i="15"/>
  <c r="B9" i="24"/>
  <c r="D9" i="5"/>
  <c r="D9" i="70"/>
  <c r="O41" i="7"/>
  <c r="O15" i="7"/>
  <c r="D9" i="29"/>
  <c r="B4" i="24"/>
  <c r="O10" i="7"/>
  <c r="D4" i="29"/>
  <c r="O36" i="7"/>
  <c r="D4" i="70"/>
  <c r="B4" i="15"/>
  <c r="D4" i="5"/>
  <c r="V9" i="7"/>
  <c r="L43" i="4"/>
  <c r="V35" i="7"/>
  <c r="CN16" i="68"/>
  <c r="B5" i="69"/>
  <c r="B5" i="67"/>
  <c r="CN20" i="68"/>
  <c r="D5" i="72"/>
  <c r="CN17" i="72"/>
  <c r="AH16" i="70"/>
  <c r="AH19" i="70"/>
  <c r="D5" i="68"/>
  <c r="CN19" i="72"/>
  <c r="B5" i="70"/>
  <c r="L54" i="4"/>
  <c r="AH20" i="8"/>
  <c r="CN20" i="25"/>
  <c r="D3" i="31"/>
  <c r="D3" i="15"/>
  <c r="B3" i="21"/>
  <c r="CN16" i="15"/>
  <c r="CN18" i="31"/>
  <c r="B3" i="8"/>
  <c r="CN20" i="15"/>
  <c r="AH16" i="21"/>
  <c r="AH19" i="21"/>
  <c r="D3" i="25"/>
  <c r="AH17" i="8"/>
  <c r="CN16" i="25"/>
  <c r="D5" i="8"/>
  <c r="D5" i="23"/>
  <c r="B5" i="68"/>
  <c r="B5" i="13"/>
  <c r="B5" i="19"/>
  <c r="L87" i="4"/>
  <c r="B6" i="21"/>
  <c r="AH18" i="8"/>
  <c r="D6" i="25"/>
  <c r="D6" i="15"/>
  <c r="B6" i="8"/>
  <c r="D6" i="31"/>
  <c r="CN18" i="15"/>
  <c r="AH18" i="30"/>
  <c r="D5" i="26"/>
  <c r="CN18" i="26"/>
  <c r="D5" i="13"/>
  <c r="D5" i="17"/>
  <c r="B5" i="30"/>
  <c r="CN18" i="17"/>
  <c r="CN19" i="13"/>
  <c r="B5" i="9"/>
  <c r="CN17" i="13"/>
  <c r="L39" i="4"/>
  <c r="B8" i="25"/>
  <c r="D8" i="14"/>
  <c r="D8" i="30"/>
  <c r="B8" i="20"/>
  <c r="D8" i="67"/>
  <c r="D6" i="70"/>
  <c r="O38" i="7"/>
  <c r="B6" i="15"/>
  <c r="D6" i="29"/>
  <c r="O12" i="7"/>
  <c r="D6" i="5"/>
  <c r="B6" i="24"/>
  <c r="L40" i="4"/>
  <c r="L81" i="4"/>
  <c r="AH17" i="14"/>
  <c r="B2" i="14"/>
  <c r="CN17" i="19"/>
  <c r="CN19" i="28"/>
  <c r="D2" i="28"/>
  <c r="CN19" i="19"/>
  <c r="CN17" i="28"/>
  <c r="B2" i="5"/>
  <c r="AH20" i="26"/>
  <c r="B2" i="26"/>
  <c r="AH20" i="14"/>
  <c r="D2" i="19"/>
  <c r="L82" i="4"/>
  <c r="B5" i="5"/>
  <c r="AH17" i="5"/>
  <c r="AH20" i="5"/>
  <c r="AH19" i="14"/>
  <c r="AH16" i="14"/>
  <c r="AH16" i="26"/>
  <c r="B5" i="14"/>
  <c r="CN18" i="28"/>
  <c r="B5" i="26"/>
  <c r="D5" i="19"/>
  <c r="D5" i="28"/>
  <c r="AH19" i="26"/>
  <c r="CN20" i="19"/>
  <c r="CN16" i="19"/>
  <c r="B8" i="31"/>
  <c r="E14" i="7"/>
  <c r="D8" i="10"/>
  <c r="B8" i="17"/>
  <c r="E40" i="7"/>
  <c r="D8" i="24"/>
  <c r="D8" i="69"/>
  <c r="B7" i="9"/>
  <c r="D7" i="26"/>
  <c r="D7" i="17"/>
  <c r="D7" i="13"/>
  <c r="B7" i="30"/>
  <c r="B9" i="17"/>
  <c r="E15" i="7"/>
  <c r="B9" i="31"/>
  <c r="E41" i="7"/>
  <c r="D9" i="10"/>
  <c r="D9" i="69"/>
  <c r="D9" i="24"/>
  <c r="CN16" i="72"/>
  <c r="CN20" i="72"/>
  <c r="AH17" i="67"/>
  <c r="B3" i="70"/>
  <c r="B3" i="69"/>
  <c r="B3" i="67"/>
  <c r="D3" i="68"/>
  <c r="AH16" i="69"/>
  <c r="AH20" i="67"/>
  <c r="AH19" i="69"/>
  <c r="D3" i="72"/>
  <c r="L83" i="4"/>
  <c r="D3" i="19"/>
  <c r="B3" i="26"/>
  <c r="AH16" i="5"/>
  <c r="AH19" i="5"/>
  <c r="B3" i="14"/>
  <c r="D3" i="28"/>
  <c r="B3" i="5"/>
  <c r="B7" i="14"/>
  <c r="D7" i="28"/>
  <c r="D7" i="19"/>
  <c r="B7" i="5"/>
  <c r="B7" i="26"/>
  <c r="B8" i="13"/>
  <c r="D8" i="23"/>
  <c r="D8" i="8"/>
  <c r="B8" i="68"/>
  <c r="B8" i="19"/>
  <c r="D8" i="21"/>
  <c r="D8" i="16"/>
  <c r="D8" i="9"/>
  <c r="B8" i="23"/>
  <c r="B8" i="28"/>
  <c r="L29" i="4"/>
  <c r="L41" i="7"/>
  <c r="L15" i="7"/>
  <c r="L13" i="4"/>
  <c r="L42" i="4"/>
  <c r="V8" i="7"/>
  <c r="V34" i="7"/>
  <c r="CN19" i="68"/>
  <c r="AH18" i="69"/>
  <c r="B4" i="67"/>
  <c r="B4" i="70"/>
  <c r="AH18" i="70"/>
  <c r="B4" i="69"/>
  <c r="CN17" i="68"/>
  <c r="AH18" i="67"/>
  <c r="D4" i="68"/>
  <c r="D4" i="72"/>
  <c r="CN18" i="72"/>
  <c r="B8" i="24"/>
  <c r="D8" i="70"/>
  <c r="O40" i="7"/>
  <c r="D8" i="29"/>
  <c r="O14" i="7"/>
  <c r="D8" i="5"/>
  <c r="B8" i="15"/>
  <c r="L9" i="4"/>
  <c r="L37" i="7"/>
  <c r="L11" i="7"/>
  <c r="D4" i="31"/>
  <c r="B4" i="21"/>
  <c r="B4" i="8"/>
  <c r="D4" i="15"/>
  <c r="D4" i="25"/>
  <c r="L35" i="4"/>
  <c r="B9" i="25"/>
  <c r="B9" i="20"/>
  <c r="D9" i="67"/>
  <c r="D9" i="30"/>
  <c r="D9" i="14"/>
  <c r="L63" i="4"/>
  <c r="D7" i="24"/>
  <c r="D7" i="10"/>
  <c r="B7" i="31"/>
  <c r="D7" i="69"/>
  <c r="E13" i="7"/>
  <c r="CN18" i="69"/>
  <c r="CN18" i="24"/>
  <c r="B7" i="17"/>
  <c r="E39" i="7"/>
  <c r="CN17" i="24"/>
  <c r="B4" i="31"/>
  <c r="CN16" i="10"/>
  <c r="CN19" i="24"/>
  <c r="B4" i="17"/>
  <c r="AH20" i="31"/>
  <c r="D4" i="10"/>
  <c r="CN20" i="10"/>
  <c r="D4" i="69"/>
  <c r="CN16" i="69"/>
  <c r="CN20" i="69"/>
  <c r="E10" i="7"/>
  <c r="D4" i="24"/>
  <c r="AH17" i="31"/>
  <c r="AH19" i="17"/>
  <c r="AH16" i="17"/>
  <c r="E36" i="7"/>
  <c r="B4" i="9"/>
  <c r="D4" i="13"/>
  <c r="D4" i="26"/>
  <c r="D4" i="17"/>
  <c r="B4" i="30"/>
  <c r="L33" i="4"/>
  <c r="L79" i="4"/>
  <c r="D6" i="9"/>
  <c r="B6" i="28"/>
  <c r="B6" i="23"/>
  <c r="D6" i="16"/>
  <c r="D6" i="21"/>
  <c r="L26" i="4"/>
  <c r="AH19" i="13"/>
  <c r="D2" i="8"/>
  <c r="AH17" i="68"/>
  <c r="CN16" i="8"/>
  <c r="AH16" i="13"/>
  <c r="B2" i="13"/>
  <c r="CN20" i="23"/>
  <c r="AH20" i="19"/>
  <c r="B2" i="19"/>
  <c r="AH17" i="19"/>
  <c r="CN20" i="8"/>
  <c r="B2" i="68"/>
  <c r="D2" i="23"/>
  <c r="CN16" i="23"/>
  <c r="AH20" i="68"/>
  <c r="B6" i="70"/>
  <c r="B6" i="69"/>
  <c r="D6" i="68"/>
  <c r="D6" i="72"/>
  <c r="B6" i="67"/>
  <c r="D9" i="8"/>
  <c r="B9" i="68"/>
  <c r="B9" i="19"/>
  <c r="B9" i="13"/>
  <c r="D9" i="23"/>
  <c r="L88" i="4"/>
  <c r="B2" i="23"/>
  <c r="D2" i="16"/>
  <c r="B2" i="28"/>
  <c r="D2" i="9"/>
  <c r="D2" i="21"/>
  <c r="B3" i="10"/>
  <c r="D3" i="20"/>
  <c r="B3" i="72"/>
  <c r="B3" i="16"/>
  <c r="B3" i="29"/>
  <c r="B9" i="28"/>
  <c r="D9" i="21"/>
  <c r="D9" i="16"/>
  <c r="D9" i="9"/>
  <c r="B9" i="23"/>
  <c r="L51" i="4"/>
  <c r="G51" i="37"/>
  <c r="AR10" i="37"/>
  <c r="G6" i="37"/>
  <c r="AR21" i="37"/>
  <c r="G7" i="37"/>
  <c r="G28" i="37"/>
  <c r="G19" i="37"/>
  <c r="AR29" i="37"/>
  <c r="AR39" i="37"/>
  <c r="G50" i="37"/>
  <c r="G18" i="37"/>
  <c r="G53" i="37"/>
  <c r="G31" i="37"/>
  <c r="G43" i="37"/>
  <c r="G8" i="37"/>
  <c r="AR6" i="37"/>
  <c r="G30" i="37"/>
  <c r="AR20" i="37"/>
  <c r="AR54" i="37"/>
  <c r="AR53" i="37"/>
  <c r="G54" i="37"/>
  <c r="AR17" i="37"/>
  <c r="G40" i="37"/>
  <c r="G41" i="37"/>
  <c r="AR42" i="37"/>
  <c r="AR51" i="37"/>
  <c r="AR41" i="37"/>
  <c r="AR18" i="37"/>
  <c r="AR30" i="37"/>
  <c r="G20" i="37"/>
  <c r="AR43" i="37"/>
  <c r="AR32" i="37"/>
  <c r="AR50" i="37"/>
  <c r="AR19" i="37"/>
  <c r="G17" i="37"/>
  <c r="G10" i="37"/>
  <c r="G42" i="37"/>
  <c r="G21" i="37"/>
  <c r="G29" i="37"/>
  <c r="AR31" i="37"/>
  <c r="G32" i="37"/>
  <c r="AR28" i="37"/>
  <c r="AR7" i="37"/>
  <c r="G39" i="37"/>
  <c r="G9" i="37"/>
  <c r="AR9" i="37"/>
  <c r="AR40" i="37"/>
  <c r="AR8" i="37"/>
  <c r="G52" i="37"/>
  <c r="J51" i="4" l="1"/>
  <c r="J60" i="4"/>
  <c r="J42" i="4"/>
  <c r="J69" i="4"/>
  <c r="J33" i="4"/>
  <c r="J15" i="4"/>
  <c r="J24" i="4"/>
  <c r="J6" i="4"/>
  <c r="J87" i="4"/>
  <c r="J78" i="4"/>
  <c r="K33" i="4" l="1"/>
  <c r="K69" i="4"/>
  <c r="K51" i="4"/>
  <c r="K87" i="4"/>
  <c r="K24" i="4"/>
  <c r="K60" i="4"/>
  <c r="K42" i="4"/>
  <c r="K15" i="4"/>
  <c r="K78" i="4"/>
  <c r="K6" i="4"/>
</calcChain>
</file>

<file path=xl/sharedStrings.xml><?xml version="1.0" encoding="utf-8"?>
<sst xmlns="http://schemas.openxmlformats.org/spreadsheetml/2006/main" count="5311" uniqueCount="182">
  <si>
    <t>Рейтинг</t>
  </si>
  <si>
    <t>Город</t>
  </si>
  <si>
    <t>№</t>
  </si>
  <si>
    <t>Команда</t>
  </si>
  <si>
    <t>Рейтинг команды</t>
  </si>
  <si>
    <t>Ж</t>
  </si>
  <si>
    <t>МИНИСТЕРСТВО СПОРТА РЕСПУБЛИКИ КРЫМ
ФЕДЕРАЦИЯ НАСТОЛЬНОГО ТЕННИСА РЕСПУБЛИКИ КРЫМ</t>
  </si>
  <si>
    <t>Список команд</t>
  </si>
  <si>
    <t>ФИО</t>
  </si>
  <si>
    <t>ПРОТОКОЛ КОМАНДНОГО МАТЧА</t>
  </si>
  <si>
    <t>и</t>
  </si>
  <si>
    <t>команда</t>
  </si>
  <si>
    <t>КОМАНДА А</t>
  </si>
  <si>
    <t>Дата и место проведения</t>
  </si>
  <si>
    <t>Дата</t>
  </si>
  <si>
    <t>Время</t>
  </si>
  <si>
    <t>Стол</t>
  </si>
  <si>
    <t>A</t>
  </si>
  <si>
    <t>B</t>
  </si>
  <si>
    <t>Тренер-представитель</t>
  </si>
  <si>
    <t>К</t>
  </si>
  <si>
    <t>Стадия</t>
  </si>
  <si>
    <t>Матч</t>
  </si>
  <si>
    <t>Фамилия Имя игроков</t>
  </si>
  <si>
    <t>П</t>
  </si>
  <si>
    <t>П1</t>
  </si>
  <si>
    <t>П2</t>
  </si>
  <si>
    <t>1-я партия</t>
  </si>
  <si>
    <t>2-я партия</t>
  </si>
  <si>
    <t>3-я партия</t>
  </si>
  <si>
    <t>4-я партия</t>
  </si>
  <si>
    <t>5-я партия</t>
  </si>
  <si>
    <t>ОБЩИЙ СЧЁТ ПАРТИЙ</t>
  </si>
  <si>
    <t>КОМАНДНЫЕ ОЧКИ</t>
  </si>
  <si>
    <t>Y</t>
  </si>
  <si>
    <t>X</t>
  </si>
  <si>
    <t>C</t>
  </si>
  <si>
    <t>Z</t>
  </si>
  <si>
    <t>ПОБЕДИТЕЛЬ:</t>
  </si>
  <si>
    <t>Заместитель главного судьи или Главный судья</t>
  </si>
  <si>
    <t>Судья-секретарь или Судья-диспетчер</t>
  </si>
  <si>
    <t>Заместитель главного секретаря или Главный секретарь</t>
  </si>
  <si>
    <t>Контрольные отметки ГСК</t>
  </si>
  <si>
    <t>Подпись тренера-представителя команды А</t>
  </si>
  <si>
    <t>Подпись тренера-представителя команды В</t>
  </si>
  <si>
    <t>Фамилия Имя и подпись ведущего судьи</t>
  </si>
  <si>
    <t>К кому и за что применены штрафные санкции</t>
  </si>
  <si>
    <t>Сокращение в таблицах:</t>
  </si>
  <si>
    <t>Ж -</t>
  </si>
  <si>
    <t>желтая карточка тренеру-представителю</t>
  </si>
  <si>
    <t>К -</t>
  </si>
  <si>
    <t>красная карточка тренеру-представителю</t>
  </si>
  <si>
    <t>П -</t>
  </si>
  <si>
    <t>предупреждение</t>
  </si>
  <si>
    <t>П1 -</t>
  </si>
  <si>
    <t>одно штрафное очко</t>
  </si>
  <si>
    <t>П2 -</t>
  </si>
  <si>
    <t>два штрафных очка</t>
  </si>
  <si>
    <t>КОМАНДА B</t>
  </si>
  <si>
    <t>Менеджер Командного Чемпионата ФНТР</t>
  </si>
  <si>
    <t>УЧАСТНИКИ КОМАНДЫ</t>
  </si>
  <si>
    <t>Заявленный участник</t>
  </si>
  <si>
    <t>А1/2</t>
  </si>
  <si>
    <t>B1/2</t>
  </si>
  <si>
    <t>Участник на замену</t>
  </si>
  <si>
    <t>А4</t>
  </si>
  <si>
    <t>B4</t>
  </si>
  <si>
    <t>если делаете замену, заполните ячейку А4 и напишите "ДА",</t>
  </si>
  <si>
    <t>если делаете замену, заполните ячейку B4 и напишите "ДА",</t>
  </si>
  <si>
    <t>если НЕ делаете замену, напишите "НЕТ",</t>
  </si>
  <si>
    <t>Подпись</t>
  </si>
  <si>
    <t>Р а с п и с а н и е</t>
  </si>
  <si>
    <t>1 тур</t>
  </si>
  <si>
    <t>2 тур</t>
  </si>
  <si>
    <t>3 тур</t>
  </si>
  <si>
    <t>4 тур</t>
  </si>
  <si>
    <t>5 тур</t>
  </si>
  <si>
    <t>6 тур</t>
  </si>
  <si>
    <t>7 тур</t>
  </si>
  <si>
    <t>Министерство спорта Республики Крым / Федерация настольного тенниса Республики Крым</t>
  </si>
  <si>
    <t>ЗАЯВКА НА КОМАНДНЫЙ МАТЧ</t>
  </si>
  <si>
    <t># Матча</t>
  </si>
  <si>
    <t>Заявленные игроки:</t>
  </si>
  <si>
    <t>Тренер</t>
  </si>
  <si>
    <t>Команда A:</t>
  </si>
  <si>
    <t>ДЛЯ СУДЕЙ:</t>
  </si>
  <si>
    <t>Пожалуйста, напишите здесь</t>
  </si>
  <si>
    <t>Ваши Фамилию и Имя</t>
  </si>
  <si>
    <t>#</t>
  </si>
  <si>
    <t>Фамилия Имя</t>
  </si>
  <si>
    <t>Турнир</t>
  </si>
  <si>
    <t>10:30</t>
  </si>
  <si>
    <t>12:00</t>
  </si>
  <si>
    <t>13:20</t>
  </si>
  <si>
    <t xml:space="preserve"> </t>
  </si>
  <si>
    <t>КОМАНДА X</t>
  </si>
  <si>
    <t>Название в одну строку</t>
  </si>
  <si>
    <t>Главный судья</t>
  </si>
  <si>
    <t>Главный секретарь</t>
  </si>
  <si>
    <r>
      <t>Тренер-представитель (</t>
    </r>
    <r>
      <rPr>
        <b/>
        <sz val="11"/>
        <color theme="1"/>
        <rFont val="Times New Roman"/>
        <family val="1"/>
        <charset val="204"/>
      </rPr>
      <t>необходимо заполнить!!!</t>
    </r>
    <r>
      <rPr>
        <sz val="11"/>
        <color theme="1"/>
        <rFont val="Times New Roman"/>
        <family val="1"/>
        <charset val="204"/>
      </rPr>
      <t>)</t>
    </r>
  </si>
  <si>
    <t>14:40</t>
  </si>
  <si>
    <t/>
  </si>
  <si>
    <t>МИЗУТАНИ Джун</t>
  </si>
  <si>
    <t>СМИРНОВ Алексей</t>
  </si>
  <si>
    <t>БУРОВ Вячеслав</t>
  </si>
  <si>
    <t>СТУЛИЙ Максим</t>
  </si>
  <si>
    <t>ГЛАДЫШЕВ Михаил</t>
  </si>
  <si>
    <t>МЕРЗЛИКИН Тарас</t>
  </si>
  <si>
    <t>САМСОНОВ Владимир</t>
  </si>
  <si>
    <t>КАЦМАН Лев</t>
  </si>
  <si>
    <t>СИДОРЕНКО Владимир</t>
  </si>
  <si>
    <t>Команда X:</t>
  </si>
  <si>
    <t>8 тур</t>
  </si>
  <si>
    <t>9 тур</t>
  </si>
  <si>
    <t>Год
рождения</t>
  </si>
  <si>
    <t>16:00</t>
  </si>
  <si>
    <t>С</t>
  </si>
  <si>
    <t>М</t>
  </si>
  <si>
    <t>О</t>
  </si>
  <si>
    <t>_____________________________</t>
  </si>
  <si>
    <t xml:space="preserve"> г. Симферополь</t>
  </si>
  <si>
    <t>,</t>
  </si>
  <si>
    <t>Маслий Д.В</t>
  </si>
  <si>
    <t xml:space="preserve"> З</t>
  </si>
  <si>
    <t>О3</t>
  </si>
  <si>
    <t>О4</t>
  </si>
  <si>
    <t>С4</t>
  </si>
  <si>
    <t>М4</t>
  </si>
  <si>
    <t>* О3 - очки за 3 тура; О - очки во IV туре; С - соотношение во IV туре; М - место во IV туре; О4 - очки за 4 тура; С4 - соотношение за 4 тура; М4 - место после 4 туров</t>
  </si>
  <si>
    <t>Скоробогатов Е.П.</t>
  </si>
  <si>
    <t>Хилик К.А., Скрипин В.И.</t>
  </si>
  <si>
    <t>Свистунов А.Н.</t>
  </si>
  <si>
    <t>Банников Ю.В.</t>
  </si>
  <si>
    <t>Филатов Д.В.</t>
  </si>
  <si>
    <t>Прима В.А.</t>
  </si>
  <si>
    <t>«Дрим Тим» г.Симферополь</t>
  </si>
  <si>
    <t>«Интер»  г.Евпатория</t>
  </si>
  <si>
    <t>"РУСИЧИ" г.Симферополь</t>
  </si>
  <si>
    <t>Панков Л.А.</t>
  </si>
  <si>
    <t>«АРСЕНАЛ-С» г.Севастополь</t>
  </si>
  <si>
    <t>«Рассвет» г.Симферополь</t>
  </si>
  <si>
    <t>«Спортшкола» г. Ялта</t>
  </si>
  <si>
    <t>"Спортшкола - Юноши" г.Ялта</t>
  </si>
  <si>
    <t>«СШ №3(1)» г.Симферополь</t>
  </si>
  <si>
    <t>«СШ №3(2)» г.Симферополь</t>
  </si>
  <si>
    <t>Пикульский Н., Третьяков О.М.</t>
  </si>
  <si>
    <t>«Аэропорт - СШ №3» г.Симферополь</t>
  </si>
  <si>
    <t>ЧЕМПИОНАТ РЕСПУБЛИКИ КРЫМ сезона 2023 г.
по настольному теннису среди команд ВЫСШЕЙ ЛИГИ (3 тур)</t>
  </si>
  <si>
    <t xml:space="preserve">28-29.10.2023 </t>
  </si>
  <si>
    <t>ЧЕМПИОНАТ РЕСПУБЛИКИ КРЫМ сезона 2023 г. 
по настольному теннису среди команд ВЫСШЕЙ ЛИГИ (3 тур)</t>
  </si>
  <si>
    <t>г. Симферополь, 28 - 29 октября 2023 г.</t>
  </si>
  <si>
    <t>г. Симферополь 
28-29 октября 2023 г.</t>
  </si>
  <si>
    <t>-7</t>
  </si>
  <si>
    <t>7</t>
  </si>
  <si>
    <t>6</t>
  </si>
  <si>
    <t>5</t>
  </si>
  <si>
    <t>-9</t>
  </si>
  <si>
    <t>9</t>
  </si>
  <si>
    <t>1</t>
  </si>
  <si>
    <t>0</t>
  </si>
  <si>
    <t>3</t>
  </si>
  <si>
    <t>4</t>
  </si>
  <si>
    <t>-1</t>
  </si>
  <si>
    <t>-2</t>
  </si>
  <si>
    <t>11</t>
  </si>
  <si>
    <t>-11</t>
  </si>
  <si>
    <t>8</t>
  </si>
  <si>
    <t>2</t>
  </si>
  <si>
    <t>16</t>
  </si>
  <si>
    <t>-8</t>
  </si>
  <si>
    <t>-0</t>
  </si>
  <si>
    <t>-6</t>
  </si>
  <si>
    <t>-5</t>
  </si>
  <si>
    <t>-4</t>
  </si>
  <si>
    <t>-3</t>
  </si>
  <si>
    <t>-10</t>
  </si>
  <si>
    <t>10</t>
  </si>
  <si>
    <t>12</t>
  </si>
  <si>
    <t>-13</t>
  </si>
  <si>
    <t>-12</t>
  </si>
  <si>
    <t>13</t>
  </si>
  <si>
    <t>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</si>
</sst>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9]d\ mmm;@"/>
    <numFmt numFmtId="165" formatCode="h:mm;@"/>
    <numFmt numFmtId="166" formatCode="[$-F800]dddd\,\ mmmm\ dd\,\ yyyy"/>
    <numFmt numFmtId="167" formatCode="[$-FC19]d\ mmmm"/>
  </numFmts>
  <fonts count="9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8"/>
      <color indexed="9"/>
      <name val="Arial Cyr"/>
      <family val="2"/>
      <charset val="204"/>
    </font>
    <font>
      <sz val="16"/>
      <color indexed="9"/>
      <name val="Arial Cyr"/>
      <family val="2"/>
      <charset val="204"/>
    </font>
    <font>
      <sz val="16"/>
      <name val="Arial Cyr"/>
      <family val="2"/>
      <charset val="204"/>
    </font>
    <font>
      <sz val="18"/>
      <name val="Arial Cyr"/>
      <family val="2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family val="2"/>
      <charset val="204"/>
    </font>
    <font>
      <sz val="12"/>
      <color indexed="9"/>
      <name val="Arial Cyr"/>
      <family val="2"/>
      <charset val="204"/>
    </font>
    <font>
      <sz val="12"/>
      <name val="Times New Roman"/>
      <family val="1"/>
      <charset val="204"/>
    </font>
    <font>
      <sz val="18"/>
      <color indexed="9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Georgia"/>
      <family val="1"/>
      <charset val="204"/>
    </font>
    <font>
      <b/>
      <sz val="24"/>
      <name val="Georgia"/>
      <family val="1"/>
      <charset val="204"/>
    </font>
    <font>
      <sz val="15"/>
      <name val="Arial Cyr"/>
      <family val="2"/>
      <charset val="204"/>
    </font>
    <font>
      <i/>
      <sz val="20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6"/>
      <name val="Arial Cyr"/>
      <charset val="204"/>
    </font>
    <font>
      <b/>
      <sz val="16"/>
      <name val="Georgia"/>
      <family val="1"/>
      <charset val="204"/>
    </font>
    <font>
      <b/>
      <sz val="24"/>
      <name val="Times New Roman"/>
      <family val="1"/>
      <charset val="204"/>
    </font>
    <font>
      <b/>
      <sz val="25"/>
      <color theme="0"/>
      <name val="Arial Cyr"/>
      <charset val="204"/>
    </font>
    <font>
      <b/>
      <sz val="25"/>
      <color rgb="FFFF0000"/>
      <name val="Arial Cyr"/>
      <charset val="204"/>
    </font>
    <font>
      <b/>
      <sz val="14"/>
      <name val="Times New Roman"/>
      <family val="1"/>
      <charset val="204"/>
    </font>
    <font>
      <sz val="22"/>
      <name val="Arial Cyr"/>
      <family val="2"/>
      <charset val="204"/>
    </font>
    <font>
      <b/>
      <sz val="16"/>
      <name val="Times New Roman"/>
      <family val="1"/>
      <charset val="204"/>
    </font>
    <font>
      <sz val="10"/>
      <color rgb="FFFF0000"/>
      <name val="Arial Cyr"/>
      <charset val="204"/>
    </font>
    <font>
      <i/>
      <sz val="12"/>
      <name val="Arial Cyr"/>
      <charset val="204"/>
    </font>
    <font>
      <b/>
      <sz val="36"/>
      <color theme="0"/>
      <name val="Arial Cyr"/>
      <charset val="204"/>
    </font>
    <font>
      <b/>
      <i/>
      <sz val="3"/>
      <name val="Arial Cyr"/>
      <charset val="204"/>
    </font>
    <font>
      <sz val="20"/>
      <name val="Arial Cyr"/>
      <family val="2"/>
      <charset val="204"/>
    </font>
    <font>
      <b/>
      <sz val="11"/>
      <name val="Times New Roman"/>
      <family val="1"/>
      <charset val="204"/>
    </font>
    <font>
      <b/>
      <sz val="25"/>
      <name val="Arial Cyr"/>
      <charset val="204"/>
    </font>
    <font>
      <sz val="12"/>
      <name val="Arial Narrow"/>
      <family val="2"/>
      <charset val="204"/>
    </font>
    <font>
      <sz val="10"/>
      <color rgb="FFFFFF00"/>
      <name val="Arial Narrow"/>
      <family val="2"/>
      <charset val="204"/>
    </font>
    <font>
      <sz val="10"/>
      <name val="Arial"/>
      <family val="2"/>
      <charset val="204"/>
    </font>
    <font>
      <b/>
      <sz val="10"/>
      <color indexed="13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4"/>
      <color rgb="FFFF0000"/>
      <name val="Arial Cyr"/>
      <charset val="204"/>
    </font>
    <font>
      <b/>
      <sz val="18"/>
      <name val="Arial Cyr"/>
      <charset val="204"/>
    </font>
    <font>
      <b/>
      <i/>
      <sz val="14"/>
      <name val="Arial Narrow"/>
      <family val="2"/>
      <charset val="204"/>
    </font>
    <font>
      <b/>
      <sz val="18"/>
      <name val="Arial Narrow"/>
      <family val="2"/>
      <charset val="204"/>
    </font>
    <font>
      <b/>
      <i/>
      <sz val="18"/>
      <name val="Arial Cyr"/>
      <charset val="204"/>
    </font>
    <font>
      <b/>
      <sz val="28"/>
      <name val="Arial Cyr"/>
      <charset val="204"/>
    </font>
    <font>
      <b/>
      <i/>
      <sz val="11"/>
      <color rgb="FFFFFF00"/>
      <name val="Arial Cyr"/>
      <charset val="204"/>
    </font>
    <font>
      <b/>
      <i/>
      <sz val="11"/>
      <color theme="0"/>
      <name val="Arial Cyr"/>
      <charset val="204"/>
    </font>
    <font>
      <b/>
      <i/>
      <sz val="14"/>
      <color rgb="FFFFFF00"/>
      <name val="Arial"/>
      <family val="2"/>
      <charset val="204"/>
    </font>
    <font>
      <b/>
      <i/>
      <sz val="14"/>
      <color theme="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28"/>
      <name val="Times New Roman"/>
      <family val="1"/>
      <charset val="204"/>
    </font>
    <font>
      <b/>
      <i/>
      <sz val="28"/>
      <name val="Arial Cyr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u/>
      <sz val="10"/>
      <name val="Arial"/>
      <family val="2"/>
      <charset val="204"/>
    </font>
    <font>
      <b/>
      <sz val="11"/>
      <name val="Arial"/>
      <family val="2"/>
      <charset val="204"/>
    </font>
    <font>
      <sz val="36"/>
      <name val="Arial Cyr"/>
      <family val="2"/>
      <charset val="204"/>
    </font>
    <font>
      <b/>
      <sz val="10"/>
      <name val="Arial Cyr"/>
      <family val="2"/>
      <charset val="204"/>
    </font>
    <font>
      <sz val="14"/>
      <name val="Arial Cyr"/>
      <charset val="204"/>
    </font>
    <font>
      <sz val="16"/>
      <name val="Arial Cyr"/>
      <charset val="204"/>
    </font>
    <font>
      <u/>
      <sz val="14"/>
      <name val="Arial Cyr"/>
      <charset val="204"/>
    </font>
    <font>
      <sz val="12"/>
      <name val="Arial Cyr"/>
      <charset val="204"/>
    </font>
    <font>
      <b/>
      <sz val="10"/>
      <name val="Arial"/>
      <family val="2"/>
      <charset val="204"/>
    </font>
    <font>
      <b/>
      <sz val="14"/>
      <name val="Georgia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3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3"/>
      <name val="Arial"/>
      <family val="2"/>
    </font>
    <font>
      <b/>
      <sz val="8"/>
      <name val="Arial"/>
      <family val="2"/>
    </font>
    <font>
      <b/>
      <sz val="16"/>
      <name val="Comic Sans MS"/>
      <family val="4"/>
    </font>
    <font>
      <b/>
      <sz val="15"/>
      <name val="Arial"/>
      <family val="2"/>
    </font>
    <font>
      <sz val="15"/>
      <name val="Arial"/>
      <family val="2"/>
    </font>
    <font>
      <b/>
      <i/>
      <sz val="10"/>
      <name val="Comic Sans MS"/>
      <family val="4"/>
    </font>
    <font>
      <i/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72"/>
      <name val="Arial Cyr"/>
      <family val="2"/>
      <charset val="204"/>
    </font>
    <font>
      <sz val="16"/>
      <name val="Times New Roman"/>
      <family val="1"/>
      <charset val="204"/>
    </font>
    <font>
      <b/>
      <i/>
      <sz val="16"/>
      <name val="Georgia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18"/>
      <name val="Georgia"/>
      <family val="1"/>
      <charset val="204"/>
    </font>
    <font>
      <b/>
      <sz val="48"/>
      <color theme="1"/>
      <name val="Calibri"/>
      <family val="2"/>
      <charset val="204"/>
      <scheme val="minor"/>
    </font>
    <font>
      <sz val="24"/>
      <name val="Arial Cyr"/>
      <family val="2"/>
      <charset val="204"/>
    </font>
    <font>
      <b/>
      <sz val="22"/>
      <name val="Times New Roman"/>
      <family val="1"/>
      <charset val="204"/>
    </font>
    <font>
      <b/>
      <sz val="22"/>
      <name val="Georgia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theme="0" tint="-0.14999847407452621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ashDotDot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7">
    <xf numFmtId="0" fontId="0" fillId="0" borderId="0"/>
    <xf numFmtId="0" fontId="4" fillId="0" borderId="0"/>
    <xf numFmtId="0" fontId="9" fillId="0" borderId="0"/>
    <xf numFmtId="0" fontId="40" fillId="0" borderId="0"/>
    <xf numFmtId="0" fontId="9" fillId="0" borderId="0"/>
    <xf numFmtId="0" fontId="40" fillId="0" borderId="0"/>
    <xf numFmtId="0" fontId="69" fillId="0" borderId="0"/>
  </cellStyleXfs>
  <cellXfs count="604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5" borderId="0" xfId="1" applyFont="1" applyFill="1" applyAlignment="1">
      <alignment horizontal="center" vertical="center"/>
    </xf>
    <xf numFmtId="0" fontId="4" fillId="5" borderId="0" xfId="1" applyFill="1"/>
    <xf numFmtId="0" fontId="11" fillId="5" borderId="0" xfId="1" applyFont="1" applyFill="1" applyBorder="1" applyAlignment="1">
      <alignment vertical="center"/>
    </xf>
    <xf numFmtId="0" fontId="13" fillId="5" borderId="0" xfId="1" applyFont="1" applyFill="1"/>
    <xf numFmtId="0" fontId="14" fillId="2" borderId="1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/>
    </xf>
    <xf numFmtId="0" fontId="15" fillId="5" borderId="0" xfId="2" applyFont="1" applyFill="1" applyAlignment="1">
      <alignment horizontal="center" vertical="center" wrapText="1"/>
    </xf>
    <xf numFmtId="0" fontId="16" fillId="5" borderId="0" xfId="1" applyFont="1" applyFill="1" applyBorder="1" applyAlignment="1">
      <alignment vertical="center"/>
    </xf>
    <xf numFmtId="0" fontId="17" fillId="5" borderId="0" xfId="2" applyFont="1" applyFill="1" applyAlignment="1">
      <alignment vertical="center" wrapText="1"/>
    </xf>
    <xf numFmtId="0" fontId="4" fillId="5" borderId="0" xfId="1" applyFont="1" applyFill="1"/>
    <xf numFmtId="0" fontId="21" fillId="5" borderId="0" xfId="2" applyFont="1" applyFill="1" applyBorder="1" applyAlignment="1">
      <alignment horizontal="center" vertical="center"/>
    </xf>
    <xf numFmtId="0" fontId="22" fillId="5" borderId="0" xfId="1" applyFont="1" applyFill="1" applyBorder="1" applyAlignment="1">
      <alignment vertical="center"/>
    </xf>
    <xf numFmtId="0" fontId="4" fillId="5" borderId="0" xfId="1" applyFont="1" applyFill="1" applyAlignment="1"/>
    <xf numFmtId="0" fontId="4" fillId="5" borderId="0" xfId="1" applyFont="1" applyFill="1" applyBorder="1"/>
    <xf numFmtId="0" fontId="12" fillId="5" borderId="0" xfId="1" applyFont="1" applyFill="1" applyBorder="1" applyAlignment="1">
      <alignment vertical="center"/>
    </xf>
    <xf numFmtId="0" fontId="4" fillId="5" borderId="0" xfId="1" applyFill="1" applyAlignment="1">
      <alignment horizontal="center" vertical="center"/>
    </xf>
    <xf numFmtId="0" fontId="4" fillId="5" borderId="0" xfId="1" applyFont="1" applyFill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26" fillId="4" borderId="1" xfId="1" applyFont="1" applyFill="1" applyBorder="1" applyAlignment="1">
      <alignment horizontal="center" vertical="center"/>
    </xf>
    <xf numFmtId="0" fontId="27" fillId="6" borderId="1" xfId="1" applyFont="1" applyFill="1" applyBorder="1" applyAlignment="1">
      <alignment horizontal="center" vertical="center"/>
    </xf>
    <xf numFmtId="0" fontId="28" fillId="5" borderId="0" xfId="1" applyFont="1" applyFill="1" applyBorder="1" applyAlignment="1">
      <alignment horizontal="center" vertical="center"/>
    </xf>
    <xf numFmtId="0" fontId="31" fillId="5" borderId="0" xfId="1" applyFont="1" applyFill="1" applyAlignment="1">
      <alignment horizontal="center" vertical="center"/>
    </xf>
    <xf numFmtId="0" fontId="4" fillId="5" borderId="0" xfId="1" applyFill="1" applyBorder="1" applyAlignment="1"/>
    <xf numFmtId="0" fontId="31" fillId="5" borderId="0" xfId="1" applyFont="1" applyFill="1" applyBorder="1" applyAlignment="1">
      <alignment horizontal="center" vertical="center"/>
    </xf>
    <xf numFmtId="0" fontId="34" fillId="5" borderId="0" xfId="1" applyFont="1" applyFill="1" applyBorder="1" applyAlignment="1">
      <alignment horizontal="center" vertical="center"/>
    </xf>
    <xf numFmtId="0" fontId="10" fillId="5" borderId="0" xfId="1" applyFont="1" applyFill="1" applyBorder="1" applyAlignment="1">
      <alignment horizontal="center" vertical="center"/>
    </xf>
    <xf numFmtId="0" fontId="12" fillId="5" borderId="33" xfId="1" applyFont="1" applyFill="1" applyBorder="1" applyAlignment="1">
      <alignment vertical="center" wrapText="1"/>
    </xf>
    <xf numFmtId="0" fontId="35" fillId="5" borderId="0" xfId="1" applyFont="1" applyFill="1" applyAlignment="1">
      <alignment horizontal="center"/>
    </xf>
    <xf numFmtId="0" fontId="35" fillId="5" borderId="0" xfId="1" applyFont="1" applyFill="1" applyAlignment="1">
      <alignment horizontal="center" vertical="center"/>
    </xf>
    <xf numFmtId="0" fontId="37" fillId="8" borderId="1" xfId="1" applyFont="1" applyFill="1" applyBorder="1" applyAlignment="1">
      <alignment horizontal="center" vertical="center"/>
    </xf>
    <xf numFmtId="0" fontId="29" fillId="4" borderId="1" xfId="1" applyFont="1" applyFill="1" applyBorder="1" applyAlignment="1">
      <alignment horizontal="center" vertical="center"/>
    </xf>
    <xf numFmtId="0" fontId="37" fillId="9" borderId="1" xfId="1" applyFont="1" applyFill="1" applyBorder="1" applyAlignment="1">
      <alignment horizontal="center" vertical="center"/>
    </xf>
    <xf numFmtId="49" fontId="38" fillId="0" borderId="1" xfId="1" applyNumberFormat="1" applyFont="1" applyBorder="1" applyAlignment="1">
      <alignment horizontal="center" vertical="center"/>
    </xf>
    <xf numFmtId="0" fontId="39" fillId="10" borderId="6" xfId="1" applyFont="1" applyFill="1" applyBorder="1" applyAlignment="1">
      <alignment horizontal="center" vertical="center"/>
    </xf>
    <xf numFmtId="0" fontId="41" fillId="11" borderId="2" xfId="3" applyFont="1" applyFill="1" applyBorder="1" applyAlignment="1">
      <alignment horizontal="center" vertical="center"/>
    </xf>
    <xf numFmtId="0" fontId="42" fillId="11" borderId="2" xfId="3" applyFont="1" applyFill="1" applyBorder="1" applyAlignment="1">
      <alignment horizontal="center" vertical="center"/>
    </xf>
    <xf numFmtId="0" fontId="43" fillId="11" borderId="2" xfId="1" applyFont="1" applyFill="1" applyBorder="1" applyAlignment="1">
      <alignment horizontal="center" vertical="center"/>
    </xf>
    <xf numFmtId="0" fontId="28" fillId="11" borderId="2" xfId="3" applyFont="1" applyFill="1" applyBorder="1" applyAlignment="1">
      <alignment horizontal="center" vertical="center"/>
    </xf>
    <xf numFmtId="0" fontId="28" fillId="11" borderId="7" xfId="3" applyFont="1" applyFill="1" applyBorder="1" applyAlignment="1">
      <alignment horizontal="center" vertical="center"/>
    </xf>
    <xf numFmtId="0" fontId="49" fillId="7" borderId="6" xfId="3" applyFont="1" applyFill="1" applyBorder="1" applyAlignment="1">
      <alignment horizontal="center" vertical="center"/>
    </xf>
    <xf numFmtId="0" fontId="49" fillId="7" borderId="2" xfId="3" applyFont="1" applyFill="1" applyBorder="1" applyAlignment="1">
      <alignment horizontal="center" vertical="center"/>
    </xf>
    <xf numFmtId="0" fontId="50" fillId="7" borderId="6" xfId="3" applyFont="1" applyFill="1" applyBorder="1" applyAlignment="1">
      <alignment horizontal="center" vertical="center"/>
    </xf>
    <xf numFmtId="0" fontId="50" fillId="7" borderId="7" xfId="3" applyFont="1" applyFill="1" applyBorder="1" applyAlignment="1">
      <alignment horizontal="center" vertical="center"/>
    </xf>
    <xf numFmtId="0" fontId="49" fillId="6" borderId="41" xfId="3" applyFont="1" applyFill="1" applyBorder="1" applyAlignment="1">
      <alignment horizontal="center" vertical="center"/>
    </xf>
    <xf numFmtId="0" fontId="50" fillId="6" borderId="41" xfId="3" applyFont="1" applyFill="1" applyBorder="1" applyAlignment="1">
      <alignment horizontal="center" vertical="center"/>
    </xf>
    <xf numFmtId="0" fontId="50" fillId="7" borderId="2" xfId="3" applyFont="1" applyFill="1" applyBorder="1" applyAlignment="1">
      <alignment horizontal="center" vertical="center"/>
    </xf>
    <xf numFmtId="0" fontId="51" fillId="11" borderId="6" xfId="3" applyFont="1" applyFill="1" applyBorder="1" applyAlignment="1">
      <alignment horizontal="center" vertical="center"/>
    </xf>
    <xf numFmtId="0" fontId="52" fillId="11" borderId="2" xfId="3" applyFont="1" applyFill="1" applyBorder="1" applyAlignment="1">
      <alignment horizontal="center" vertical="center"/>
    </xf>
    <xf numFmtId="0" fontId="53" fillId="11" borderId="2" xfId="3" applyFont="1" applyFill="1" applyBorder="1" applyAlignment="1">
      <alignment horizontal="center" vertical="center"/>
    </xf>
    <xf numFmtId="0" fontId="29" fillId="12" borderId="1" xfId="1" applyFont="1" applyFill="1" applyBorder="1" applyAlignment="1">
      <alignment horizontal="center" vertical="center"/>
    </xf>
    <xf numFmtId="0" fontId="7" fillId="5" borderId="0" xfId="1" applyFont="1" applyFill="1" applyAlignment="1">
      <alignment horizontal="center" vertical="center"/>
    </xf>
    <xf numFmtId="0" fontId="7" fillId="5" borderId="0" xfId="1" applyFont="1" applyFill="1"/>
    <xf numFmtId="0" fontId="54" fillId="5" borderId="0" xfId="1" applyFont="1" applyFill="1" applyBorder="1" applyAlignment="1">
      <alignment vertical="center"/>
    </xf>
    <xf numFmtId="0" fontId="54" fillId="13" borderId="0" xfId="1" applyFont="1" applyFill="1" applyBorder="1" applyAlignment="1">
      <alignment horizontal="center" vertical="center"/>
    </xf>
    <xf numFmtId="0" fontId="53" fillId="11" borderId="45" xfId="3" applyFont="1" applyFill="1" applyBorder="1" applyAlignment="1">
      <alignment horizontal="center" vertical="center"/>
    </xf>
    <xf numFmtId="0" fontId="53" fillId="11" borderId="46" xfId="3" applyFont="1" applyFill="1" applyBorder="1" applyAlignment="1">
      <alignment horizontal="center" vertical="center"/>
    </xf>
    <xf numFmtId="0" fontId="35" fillId="5" borderId="0" xfId="1" applyFont="1" applyFill="1" applyBorder="1" applyAlignment="1">
      <alignment vertical="center"/>
    </xf>
    <xf numFmtId="0" fontId="12" fillId="5" borderId="0" xfId="1" applyFont="1" applyFill="1" applyBorder="1" applyAlignment="1">
      <alignment horizontal="center" vertical="center"/>
    </xf>
    <xf numFmtId="0" fontId="58" fillId="5" borderId="0" xfId="4" applyFont="1" applyFill="1" applyAlignment="1">
      <alignment vertical="center" wrapText="1"/>
    </xf>
    <xf numFmtId="0" fontId="59" fillId="5" borderId="0" xfId="4" applyFont="1" applyFill="1" applyBorder="1" applyAlignment="1">
      <alignment horizontal="center" vertical="center" wrapText="1"/>
    </xf>
    <xf numFmtId="0" fontId="29" fillId="0" borderId="41" xfId="1" applyFont="1" applyFill="1" applyBorder="1" applyAlignment="1">
      <alignment horizontal="center" vertical="center"/>
    </xf>
    <xf numFmtId="0" fontId="54" fillId="0" borderId="41" xfId="1" applyFont="1" applyFill="1" applyBorder="1" applyAlignment="1">
      <alignment vertical="center"/>
    </xf>
    <xf numFmtId="0" fontId="12" fillId="5" borderId="3" xfId="1" applyFont="1" applyFill="1" applyBorder="1" applyAlignment="1">
      <alignment vertical="center"/>
    </xf>
    <xf numFmtId="0" fontId="60" fillId="5" borderId="0" xfId="4" applyFont="1" applyFill="1" applyBorder="1" applyAlignment="1">
      <alignment vertical="center" wrapText="1"/>
    </xf>
    <xf numFmtId="0" fontId="60" fillId="5" borderId="4" xfId="4" applyFont="1" applyFill="1" applyBorder="1" applyAlignment="1">
      <alignment vertical="center" wrapText="1"/>
    </xf>
    <xf numFmtId="0" fontId="34" fillId="5" borderId="3" xfId="1" applyFont="1" applyFill="1" applyBorder="1" applyAlignment="1">
      <alignment horizontal="center" vertical="center"/>
    </xf>
    <xf numFmtId="0" fontId="4" fillId="5" borderId="4" xfId="1" applyFont="1" applyFill="1" applyBorder="1"/>
    <xf numFmtId="0" fontId="34" fillId="5" borderId="7" xfId="1" applyFont="1" applyFill="1" applyBorder="1" applyAlignment="1">
      <alignment horizontal="center" vertical="center"/>
    </xf>
    <xf numFmtId="0" fontId="4" fillId="5" borderId="5" xfId="1" applyFont="1" applyFill="1" applyBorder="1"/>
    <xf numFmtId="0" fontId="34" fillId="5" borderId="5" xfId="1" applyFont="1" applyFill="1" applyBorder="1" applyAlignment="1">
      <alignment horizontal="center" vertical="center"/>
    </xf>
    <xf numFmtId="0" fontId="4" fillId="5" borderId="6" xfId="1" applyFont="1" applyFill="1" applyBorder="1"/>
    <xf numFmtId="0" fontId="62" fillId="5" borderId="0" xfId="1" applyFont="1" applyFill="1" applyBorder="1" applyAlignment="1">
      <alignment vertical="center"/>
    </xf>
    <xf numFmtId="0" fontId="4" fillId="5" borderId="0" xfId="1" applyFont="1" applyFill="1" applyAlignment="1">
      <alignment horizontal="center" vertical="center"/>
    </xf>
    <xf numFmtId="0" fontId="4" fillId="5" borderId="0" xfId="1" applyFont="1" applyFill="1" applyBorder="1" applyAlignment="1">
      <alignment vertical="center"/>
    </xf>
    <xf numFmtId="0" fontId="34" fillId="5" borderId="4" xfId="1" applyFont="1" applyFill="1" applyBorder="1" applyAlignment="1">
      <alignment horizontal="center" vertical="center"/>
    </xf>
    <xf numFmtId="0" fontId="4" fillId="5" borderId="1" xfId="1" applyFill="1" applyBorder="1" applyAlignment="1"/>
    <xf numFmtId="0" fontId="4" fillId="5" borderId="0" xfId="1" applyFont="1" applyFill="1" applyBorder="1" applyAlignment="1"/>
    <xf numFmtId="0" fontId="59" fillId="5" borderId="0" xfId="4" applyFont="1" applyFill="1" applyBorder="1" applyAlignment="1">
      <alignment vertical="center" wrapText="1"/>
    </xf>
    <xf numFmtId="0" fontId="4" fillId="5" borderId="0" xfId="1" applyFill="1" applyBorder="1" applyAlignment="1">
      <alignment horizontal="center" vertical="center"/>
    </xf>
    <xf numFmtId="0" fontId="7" fillId="5" borderId="0" xfId="1" applyFont="1" applyFill="1" applyBorder="1"/>
    <xf numFmtId="0" fontId="7" fillId="5" borderId="4" xfId="1" applyFont="1" applyFill="1" applyBorder="1"/>
    <xf numFmtId="0" fontId="4" fillId="5" borderId="8" xfId="1" applyFont="1" applyFill="1" applyBorder="1" applyAlignment="1"/>
    <xf numFmtId="0" fontId="4" fillId="5" borderId="4" xfId="1" applyFill="1" applyBorder="1"/>
    <xf numFmtId="0" fontId="4" fillId="5" borderId="0" xfId="1" applyFill="1" applyBorder="1"/>
    <xf numFmtId="0" fontId="9" fillId="0" borderId="0" xfId="4"/>
    <xf numFmtId="164" fontId="9" fillId="0" borderId="0" xfId="4" applyNumberFormat="1"/>
    <xf numFmtId="0" fontId="9" fillId="14" borderId="0" xfId="4" applyFill="1"/>
    <xf numFmtId="0" fontId="9" fillId="0" borderId="0" xfId="4" applyAlignment="1">
      <alignment horizontal="center"/>
    </xf>
    <xf numFmtId="0" fontId="9" fillId="14" borderId="0" xfId="4" applyFill="1" applyAlignment="1">
      <alignment horizontal="center"/>
    </xf>
    <xf numFmtId="0" fontId="66" fillId="0" borderId="0" xfId="4" applyFont="1" applyBorder="1" applyAlignment="1">
      <alignment horizontal="center" vertical="center"/>
    </xf>
    <xf numFmtId="0" fontId="67" fillId="0" borderId="0" xfId="5" applyFont="1" applyFill="1" applyBorder="1" applyAlignment="1"/>
    <xf numFmtId="0" fontId="68" fillId="0" borderId="0" xfId="5" applyFont="1" applyFill="1" applyBorder="1" applyAlignment="1">
      <alignment horizontal="center"/>
    </xf>
    <xf numFmtId="0" fontId="67" fillId="0" borderId="0" xfId="5" applyFont="1" applyFill="1"/>
    <xf numFmtId="0" fontId="67" fillId="0" borderId="0" xfId="5" applyFont="1" applyFill="1" applyBorder="1" applyAlignment="1">
      <alignment horizontal="left"/>
    </xf>
    <xf numFmtId="0" fontId="4" fillId="5" borderId="41" xfId="1" applyFont="1" applyFill="1" applyBorder="1"/>
    <xf numFmtId="0" fontId="70" fillId="0" borderId="0" xfId="6" applyFont="1" applyAlignment="1">
      <alignment horizontal="center" vertical="center"/>
    </xf>
    <xf numFmtId="0" fontId="70" fillId="0" borderId="0" xfId="6" applyFont="1" applyAlignment="1">
      <alignment vertical="center"/>
    </xf>
    <xf numFmtId="0" fontId="72" fillId="0" borderId="0" xfId="6" applyFont="1" applyAlignment="1" applyProtection="1">
      <alignment vertical="center"/>
    </xf>
    <xf numFmtId="0" fontId="70" fillId="17" borderId="0" xfId="6" applyFont="1" applyFill="1" applyAlignment="1">
      <alignment horizontal="center" vertical="center"/>
    </xf>
    <xf numFmtId="0" fontId="74" fillId="0" borderId="0" xfId="6" applyFont="1" applyAlignment="1">
      <alignment horizontal="center" vertical="center"/>
    </xf>
    <xf numFmtId="0" fontId="73" fillId="0" borderId="55" xfId="6" applyFont="1" applyBorder="1" applyAlignment="1">
      <alignment horizontal="center" vertical="center"/>
    </xf>
    <xf numFmtId="0" fontId="73" fillId="0" borderId="61" xfId="6" applyFont="1" applyBorder="1" applyAlignment="1">
      <alignment horizontal="center" vertical="center"/>
    </xf>
    <xf numFmtId="0" fontId="73" fillId="0" borderId="62" xfId="6" applyFont="1" applyBorder="1" applyAlignment="1">
      <alignment horizontal="center" vertical="center"/>
    </xf>
    <xf numFmtId="0" fontId="78" fillId="16" borderId="69" xfId="6" applyFont="1" applyFill="1" applyBorder="1" applyAlignment="1">
      <alignment horizontal="center" vertical="center"/>
    </xf>
    <xf numFmtId="0" fontId="79" fillId="0" borderId="70" xfId="6" applyFont="1" applyBorder="1" applyAlignment="1">
      <alignment horizontal="center" vertical="center"/>
    </xf>
    <xf numFmtId="0" fontId="78" fillId="16" borderId="74" xfId="6" applyFont="1" applyFill="1" applyBorder="1" applyAlignment="1">
      <alignment horizontal="center" vertical="center"/>
    </xf>
    <xf numFmtId="0" fontId="79" fillId="0" borderId="75" xfId="6" applyFont="1" applyBorder="1" applyAlignment="1">
      <alignment horizontal="center" vertical="center"/>
    </xf>
    <xf numFmtId="0" fontId="79" fillId="0" borderId="77" xfId="6" applyFont="1" applyBorder="1" applyAlignment="1">
      <alignment horizontal="center" vertical="center"/>
    </xf>
    <xf numFmtId="0" fontId="70" fillId="16" borderId="78" xfId="6" applyFont="1" applyFill="1" applyBorder="1" applyAlignment="1">
      <alignment horizontal="center" vertical="center"/>
    </xf>
    <xf numFmtId="0" fontId="70" fillId="0" borderId="78" xfId="6" applyFont="1" applyFill="1" applyBorder="1" applyAlignment="1">
      <alignment horizontal="center" vertical="center"/>
    </xf>
    <xf numFmtId="0" fontId="70" fillId="0" borderId="80" xfId="6" applyFont="1" applyBorder="1" applyAlignment="1">
      <alignment vertical="center"/>
    </xf>
    <xf numFmtId="0" fontId="70" fillId="0" borderId="80" xfId="6" applyFont="1" applyBorder="1" applyAlignment="1">
      <alignment horizontal="center" vertical="center"/>
    </xf>
    <xf numFmtId="0" fontId="70" fillId="0" borderId="0" xfId="6" applyFont="1" applyBorder="1" applyAlignment="1">
      <alignment vertical="center"/>
    </xf>
    <xf numFmtId="0" fontId="70" fillId="0" borderId="0" xfId="6" applyFont="1" applyBorder="1" applyAlignment="1">
      <alignment horizontal="center" vertical="center"/>
    </xf>
    <xf numFmtId="0" fontId="73" fillId="0" borderId="81" xfId="6" applyFont="1" applyBorder="1" applyAlignment="1">
      <alignment horizontal="center" vertical="center"/>
    </xf>
    <xf numFmtId="0" fontId="70" fillId="18" borderId="8" xfId="6" applyFont="1" applyFill="1" applyBorder="1" applyAlignment="1">
      <alignment horizontal="center" vertical="center"/>
    </xf>
    <xf numFmtId="17" fontId="9" fillId="0" borderId="0" xfId="4" quotePrefix="1" applyNumberFormat="1" applyAlignment="1">
      <alignment horizontal="center"/>
    </xf>
    <xf numFmtId="49" fontId="9" fillId="0" borderId="0" xfId="4" quotePrefix="1" applyNumberFormat="1" applyAlignment="1">
      <alignment horizontal="center"/>
    </xf>
    <xf numFmtId="0" fontId="10" fillId="5" borderId="0" xfId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 wrapText="1"/>
    </xf>
    <xf numFmtId="0" fontId="4" fillId="5" borderId="8" xfId="1" applyFont="1" applyFill="1" applyBorder="1"/>
    <xf numFmtId="0" fontId="34" fillId="5" borderId="8" xfId="1" applyFont="1" applyFill="1" applyBorder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shrinkToFit="1"/>
    </xf>
    <xf numFmtId="0" fontId="10" fillId="5" borderId="0" xfId="1" applyFont="1" applyFill="1" applyBorder="1" applyAlignment="1">
      <alignment horizontal="center" vertical="center" shrinkToFit="1"/>
    </xf>
    <xf numFmtId="0" fontId="4" fillId="5" borderId="0" xfId="1" applyFont="1" applyFill="1" applyAlignment="1">
      <alignment shrinkToFit="1"/>
    </xf>
    <xf numFmtId="0" fontId="1" fillId="0" borderId="1" xfId="0" applyFont="1" applyFill="1" applyBorder="1" applyAlignment="1">
      <alignment horizontal="center" vertical="center"/>
    </xf>
    <xf numFmtId="0" fontId="35" fillId="5" borderId="0" xfId="1" applyFont="1" applyFill="1" applyBorder="1" applyAlignment="1">
      <alignment horizontal="center" vertical="center" wrapText="1"/>
    </xf>
    <xf numFmtId="0" fontId="64" fillId="0" borderId="0" xfId="4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37" fillId="5" borderId="0" xfId="1" applyFont="1" applyFill="1" applyBorder="1" applyAlignment="1">
      <alignment horizontal="center" vertical="center"/>
    </xf>
    <xf numFmtId="0" fontId="29" fillId="5" borderId="0" xfId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3" fillId="19" borderId="0" xfId="0" applyFont="1" applyFill="1" applyAlignment="1">
      <alignment vertical="center"/>
    </xf>
    <xf numFmtId="167" fontId="9" fillId="0" borderId="0" xfId="4" applyNumberFormat="1"/>
    <xf numFmtId="0" fontId="2" fillId="0" borderId="0" xfId="0" applyFont="1" applyAlignment="1">
      <alignment horizontal="center" vertical="center" wrapText="1"/>
    </xf>
    <xf numFmtId="0" fontId="63" fillId="0" borderId="0" xfId="4" applyFont="1" applyAlignment="1">
      <alignment horizontal="center" vertical="center"/>
    </xf>
    <xf numFmtId="0" fontId="10" fillId="5" borderId="0" xfId="1" applyFont="1" applyFill="1" applyBorder="1" applyAlignment="1">
      <alignment horizontal="center" vertical="center"/>
    </xf>
    <xf numFmtId="0" fontId="63" fillId="0" borderId="0" xfId="4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1" fontId="1" fillId="0" borderId="1" xfId="0" applyNumberFormat="1" applyFont="1" applyFill="1" applyBorder="1" applyAlignment="1">
      <alignment horizontal="center" vertical="center" wrapText="1" shrinkToFit="1"/>
    </xf>
    <xf numFmtId="0" fontId="3" fillId="0" borderId="0" xfId="0" applyFont="1" applyAlignment="1"/>
    <xf numFmtId="0" fontId="63" fillId="0" borderId="0" xfId="4" applyFont="1" applyAlignment="1">
      <alignment horizontal="center" vertical="center"/>
    </xf>
    <xf numFmtId="0" fontId="10" fillId="5" borderId="0" xfId="1" applyFont="1" applyFill="1" applyBorder="1" applyAlignment="1">
      <alignment horizontal="center" vertical="center"/>
    </xf>
    <xf numFmtId="0" fontId="70" fillId="18" borderId="0" xfId="6" applyFont="1" applyFill="1" applyBorder="1" applyAlignment="1">
      <alignment horizontal="center" vertical="center"/>
    </xf>
    <xf numFmtId="0" fontId="70" fillId="0" borderId="80" xfId="6" applyFont="1" applyFill="1" applyBorder="1" applyAlignment="1">
      <alignment horizontal="center" vertical="center"/>
    </xf>
    <xf numFmtId="49" fontId="64" fillId="0" borderId="0" xfId="4" applyNumberFormat="1" applyFont="1" applyAlignment="1">
      <alignment horizontal="center" vertical="center"/>
    </xf>
    <xf numFmtId="49" fontId="66" fillId="0" borderId="0" xfId="4" applyNumberFormat="1" applyFont="1" applyBorder="1" applyAlignment="1">
      <alignment horizontal="center" vertical="center"/>
    </xf>
    <xf numFmtId="49" fontId="40" fillId="0" borderId="0" xfId="5" applyNumberFormat="1" applyFont="1" applyFill="1"/>
    <xf numFmtId="49" fontId="9" fillId="0" borderId="0" xfId="4" applyNumberFormat="1"/>
    <xf numFmtId="0" fontId="35" fillId="0" borderId="0" xfId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Border="1"/>
    <xf numFmtId="0" fontId="1" fillId="0" borderId="7" xfId="0" applyFont="1" applyBorder="1" applyAlignment="1">
      <alignment horizontal="center" vertical="center"/>
    </xf>
    <xf numFmtId="0" fontId="1" fillId="0" borderId="6" xfId="0" applyFont="1" applyBorder="1"/>
    <xf numFmtId="0" fontId="1" fillId="0" borderId="5" xfId="0" applyFont="1" applyBorder="1"/>
    <xf numFmtId="0" fontId="1" fillId="0" borderId="8" xfId="0" applyFont="1" applyBorder="1" applyAlignment="1">
      <alignment horizontal="center" vertical="center"/>
    </xf>
    <xf numFmtId="0" fontId="1" fillId="0" borderId="26" xfId="0" applyFont="1" applyBorder="1"/>
    <xf numFmtId="0" fontId="1" fillId="0" borderId="25" xfId="0" applyFont="1" applyBorder="1" applyAlignment="1">
      <alignment horizontal="center" vertical="center"/>
    </xf>
    <xf numFmtId="0" fontId="1" fillId="0" borderId="8" xfId="0" applyFont="1" applyBorder="1"/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/>
    <xf numFmtId="0" fontId="90" fillId="0" borderId="1" xfId="0" applyFont="1" applyBorder="1" applyAlignment="1">
      <alignment horizontal="center" vertical="center"/>
    </xf>
    <xf numFmtId="0" fontId="88" fillId="0" borderId="4" xfId="0" applyFont="1" applyBorder="1"/>
    <xf numFmtId="0" fontId="88" fillId="0" borderId="3" xfId="0" applyFont="1" applyBorder="1" applyAlignment="1">
      <alignment horizontal="center" vertical="center"/>
    </xf>
    <xf numFmtId="0" fontId="88" fillId="0" borderId="3" xfId="0" applyFont="1" applyFill="1" applyBorder="1" applyAlignment="1">
      <alignment horizontal="center" vertical="center"/>
    </xf>
    <xf numFmtId="0" fontId="88" fillId="0" borderId="4" xfId="0" applyFont="1" applyFill="1" applyBorder="1"/>
    <xf numFmtId="0" fontId="88" fillId="0" borderId="26" xfId="0" applyFont="1" applyBorder="1"/>
    <xf numFmtId="0" fontId="88" fillId="0" borderId="25" xfId="0" applyFont="1" applyBorder="1" applyAlignment="1">
      <alignment horizontal="center" vertical="center"/>
    </xf>
    <xf numFmtId="0" fontId="12" fillId="0" borderId="0" xfId="5" applyFont="1" applyFill="1" applyBorder="1" applyAlignment="1"/>
    <xf numFmtId="0" fontId="15" fillId="0" borderId="0" xfId="4" applyFont="1"/>
    <xf numFmtId="0" fontId="30" fillId="0" borderId="0" xfId="5" applyFont="1" applyFill="1" applyBorder="1" applyAlignment="1"/>
    <xf numFmtId="0" fontId="84" fillId="0" borderId="0" xfId="4" applyFont="1"/>
    <xf numFmtId="0" fontId="3" fillId="0" borderId="5" xfId="0" applyFont="1" applyBorder="1"/>
    <xf numFmtId="0" fontId="1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Border="1" applyAlignment="1">
      <alignment vertical="center"/>
    </xf>
    <xf numFmtId="2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14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shrinkToFit="1"/>
    </xf>
    <xf numFmtId="1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66" fillId="0" borderId="1" xfId="4" applyFont="1" applyFill="1" applyBorder="1" applyAlignment="1">
      <alignment horizontal="center" vertical="center"/>
    </xf>
    <xf numFmtId="49" fontId="66" fillId="0" borderId="1" xfId="4" applyNumberFormat="1" applyFont="1" applyFill="1" applyBorder="1" applyAlignment="1">
      <alignment horizontal="center" vertical="center"/>
    </xf>
    <xf numFmtId="0" fontId="66" fillId="0" borderId="1" xfId="4" applyFont="1" applyFill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0" borderId="0" xfId="0" applyFont="1" applyFill="1" applyAlignment="1">
      <alignment horizontal="center" vertical="center"/>
    </xf>
    <xf numFmtId="1" fontId="73" fillId="0" borderId="59" xfId="6" applyNumberFormat="1" applyFont="1" applyBorder="1" applyAlignment="1">
      <alignment horizontal="center" vertical="center"/>
    </xf>
    <xf numFmtId="1" fontId="73" fillId="0" borderId="66" xfId="6" applyNumberFormat="1" applyFont="1" applyBorder="1" applyAlignment="1">
      <alignment horizontal="center" vertical="center"/>
    </xf>
    <xf numFmtId="1" fontId="67" fillId="0" borderId="60" xfId="6" applyNumberFormat="1" applyFont="1" applyBorder="1" applyAlignment="1">
      <alignment horizontal="center" vertical="center"/>
    </xf>
    <xf numFmtId="1" fontId="67" fillId="0" borderId="67" xfId="6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95" fillId="11" borderId="0" xfId="0" applyFont="1" applyFill="1" applyAlignment="1">
      <alignment horizontal="center" vertical="center"/>
    </xf>
    <xf numFmtId="0" fontId="48" fillId="0" borderId="43" xfId="1" applyFont="1" applyBorder="1" applyAlignment="1">
      <alignment horizontal="center" vertical="center"/>
    </xf>
    <xf numFmtId="0" fontId="48" fillId="0" borderId="28" xfId="1" applyFont="1" applyBorder="1" applyAlignment="1">
      <alignment horizontal="center" vertical="center"/>
    </xf>
    <xf numFmtId="0" fontId="48" fillId="0" borderId="29" xfId="1" applyFont="1" applyBorder="1" applyAlignment="1">
      <alignment horizontal="center" vertical="center"/>
    </xf>
    <xf numFmtId="0" fontId="55" fillId="5" borderId="13" xfId="1" applyFont="1" applyFill="1" applyBorder="1" applyAlignment="1">
      <alignment horizontal="center" vertical="center" shrinkToFit="1"/>
    </xf>
    <xf numFmtId="0" fontId="56" fillId="5" borderId="0" xfId="1" applyFont="1" applyFill="1" applyBorder="1" applyAlignment="1">
      <alignment horizontal="center" vertical="center"/>
    </xf>
    <xf numFmtId="0" fontId="47" fillId="5" borderId="30" xfId="1" applyFont="1" applyFill="1" applyBorder="1" applyAlignment="1">
      <alignment horizontal="center" vertical="center"/>
    </xf>
    <xf numFmtId="0" fontId="47" fillId="5" borderId="31" xfId="1" applyFont="1" applyFill="1" applyBorder="1" applyAlignment="1">
      <alignment horizontal="center" vertical="center"/>
    </xf>
    <xf numFmtId="0" fontId="47" fillId="5" borderId="44" xfId="1" applyFont="1" applyFill="1" applyBorder="1" applyAlignment="1">
      <alignment horizontal="center" vertical="center"/>
    </xf>
    <xf numFmtId="0" fontId="47" fillId="5" borderId="37" xfId="1" applyFont="1" applyFill="1" applyBorder="1" applyAlignment="1">
      <alignment horizontal="center" vertical="center"/>
    </xf>
    <xf numFmtId="0" fontId="47" fillId="5" borderId="35" xfId="1" applyFont="1" applyFill="1" applyBorder="1" applyAlignment="1">
      <alignment horizontal="center" vertical="center"/>
    </xf>
    <xf numFmtId="0" fontId="47" fillId="5" borderId="38" xfId="1" applyFont="1" applyFill="1" applyBorder="1" applyAlignment="1">
      <alignment horizontal="center" vertical="center"/>
    </xf>
    <xf numFmtId="0" fontId="48" fillId="5" borderId="34" xfId="1" applyFont="1" applyFill="1" applyBorder="1" applyAlignment="1">
      <alignment horizontal="center" vertical="center"/>
    </xf>
    <xf numFmtId="0" fontId="48" fillId="5" borderId="35" xfId="1" applyFont="1" applyFill="1" applyBorder="1" applyAlignment="1">
      <alignment horizontal="center" vertical="center"/>
    </xf>
    <xf numFmtId="0" fontId="48" fillId="5" borderId="36" xfId="1" applyFont="1" applyFill="1" applyBorder="1" applyAlignment="1">
      <alignment horizontal="center" vertical="center"/>
    </xf>
    <xf numFmtId="0" fontId="48" fillId="5" borderId="37" xfId="1" applyFont="1" applyFill="1" applyBorder="1" applyAlignment="1">
      <alignment horizontal="center" vertical="center"/>
    </xf>
    <xf numFmtId="0" fontId="48" fillId="5" borderId="38" xfId="1" applyFont="1" applyFill="1" applyBorder="1" applyAlignment="1">
      <alignment horizontal="center" vertical="center"/>
    </xf>
    <xf numFmtId="0" fontId="45" fillId="5" borderId="43" xfId="1" applyFont="1" applyFill="1" applyBorder="1" applyAlignment="1">
      <alignment horizontal="center" vertical="center"/>
    </xf>
    <xf numFmtId="0" fontId="45" fillId="5" borderId="28" xfId="1" applyFont="1" applyFill="1" applyBorder="1" applyAlignment="1">
      <alignment horizontal="center" vertical="center"/>
    </xf>
    <xf numFmtId="0" fontId="28" fillId="5" borderId="28" xfId="1" applyFont="1" applyFill="1" applyBorder="1" applyAlignment="1">
      <alignment horizontal="center" vertical="center"/>
    </xf>
    <xf numFmtId="0" fontId="45" fillId="5" borderId="29" xfId="1" applyFont="1" applyFill="1" applyBorder="1" applyAlignment="1">
      <alignment horizontal="center" vertical="center"/>
    </xf>
    <xf numFmtId="0" fontId="47" fillId="0" borderId="27" xfId="1" applyFont="1" applyBorder="1" applyAlignment="1">
      <alignment horizontal="center" vertical="center"/>
    </xf>
    <xf numFmtId="0" fontId="47" fillId="0" borderId="28" xfId="1" applyFont="1" applyBorder="1" applyAlignment="1">
      <alignment horizontal="center" vertical="center"/>
    </xf>
    <xf numFmtId="0" fontId="47" fillId="0" borderId="42" xfId="1" applyFont="1" applyBorder="1" applyAlignment="1">
      <alignment horizontal="center" vertical="center"/>
    </xf>
    <xf numFmtId="0" fontId="47" fillId="0" borderId="43" xfId="1" applyFont="1" applyBorder="1" applyAlignment="1">
      <alignment horizontal="center" vertical="center"/>
    </xf>
    <xf numFmtId="0" fontId="47" fillId="0" borderId="29" xfId="1" applyFont="1" applyBorder="1" applyAlignment="1">
      <alignment horizontal="center" vertical="center"/>
    </xf>
    <xf numFmtId="0" fontId="48" fillId="0" borderId="27" xfId="1" applyFont="1" applyBorder="1" applyAlignment="1">
      <alignment horizontal="center" vertical="center"/>
    </xf>
    <xf numFmtId="0" fontId="48" fillId="0" borderId="42" xfId="1" applyFont="1" applyBorder="1" applyAlignment="1">
      <alignment horizontal="center" vertical="center"/>
    </xf>
    <xf numFmtId="0" fontId="45" fillId="5" borderId="42" xfId="1" applyFont="1" applyFill="1" applyBorder="1" applyAlignment="1">
      <alignment horizontal="center" vertical="center"/>
    </xf>
    <xf numFmtId="0" fontId="45" fillId="5" borderId="27" xfId="1" applyFont="1" applyFill="1" applyBorder="1" applyAlignment="1">
      <alignment horizontal="center" vertical="center"/>
    </xf>
    <xf numFmtId="0" fontId="46" fillId="5" borderId="28" xfId="1" applyFont="1" applyFill="1" applyBorder="1" applyAlignment="1">
      <alignment horizontal="center" vertical="center"/>
    </xf>
    <xf numFmtId="0" fontId="47" fillId="0" borderId="24" xfId="1" applyFont="1" applyBorder="1" applyAlignment="1">
      <alignment horizontal="center" vertical="center"/>
    </xf>
    <xf numFmtId="0" fontId="47" fillId="0" borderId="19" xfId="1" applyFont="1" applyBorder="1" applyAlignment="1">
      <alignment horizontal="center" vertical="center"/>
    </xf>
    <xf numFmtId="0" fontId="47" fillId="0" borderId="20" xfId="1" applyFont="1" applyBorder="1" applyAlignment="1">
      <alignment horizontal="center" vertical="center"/>
    </xf>
    <xf numFmtId="0" fontId="48" fillId="0" borderId="18" xfId="1" applyFont="1" applyBorder="1" applyAlignment="1">
      <alignment horizontal="center" vertical="center"/>
    </xf>
    <xf numFmtId="0" fontId="48" fillId="0" borderId="19" xfId="1" applyFont="1" applyBorder="1" applyAlignment="1">
      <alignment horizontal="center" vertical="center"/>
    </xf>
    <xf numFmtId="0" fontId="48" fillId="0" borderId="23" xfId="1" applyFont="1" applyBorder="1" applyAlignment="1">
      <alignment horizontal="center" vertical="center"/>
    </xf>
    <xf numFmtId="0" fontId="48" fillId="0" borderId="24" xfId="1" applyFont="1" applyBorder="1" applyAlignment="1">
      <alignment horizontal="center" vertical="center"/>
    </xf>
    <xf numFmtId="0" fontId="48" fillId="0" borderId="20" xfId="1" applyFont="1" applyBorder="1" applyAlignment="1">
      <alignment horizontal="center" vertical="center"/>
    </xf>
    <xf numFmtId="0" fontId="28" fillId="5" borderId="19" xfId="1" applyFont="1" applyFill="1" applyBorder="1" applyAlignment="1">
      <alignment horizontal="center" vertical="center"/>
    </xf>
    <xf numFmtId="0" fontId="45" fillId="5" borderId="19" xfId="1" applyFont="1" applyFill="1" applyBorder="1" applyAlignment="1">
      <alignment horizontal="center" vertical="center"/>
    </xf>
    <xf numFmtId="0" fontId="45" fillId="5" borderId="23" xfId="1" applyFont="1" applyFill="1" applyBorder="1" applyAlignment="1">
      <alignment horizontal="center" vertical="center"/>
    </xf>
    <xf numFmtId="0" fontId="45" fillId="5" borderId="24" xfId="1" applyFont="1" applyFill="1" applyBorder="1" applyAlignment="1">
      <alignment horizontal="center" vertical="center"/>
    </xf>
    <xf numFmtId="0" fontId="12" fillId="5" borderId="34" xfId="1" applyFont="1" applyFill="1" applyBorder="1" applyAlignment="1">
      <alignment horizontal="center" vertical="center" shrinkToFit="1"/>
    </xf>
    <xf numFmtId="0" fontId="12" fillId="5" borderId="35" xfId="1" applyFont="1" applyFill="1" applyBorder="1" applyAlignment="1">
      <alignment horizontal="center" vertical="center" shrinkToFit="1"/>
    </xf>
    <xf numFmtId="0" fontId="12" fillId="5" borderId="36" xfId="1" applyFont="1" applyFill="1" applyBorder="1" applyAlignment="1">
      <alignment horizontal="center" vertical="center" shrinkToFit="1"/>
    </xf>
    <xf numFmtId="0" fontId="12" fillId="5" borderId="34" xfId="1" applyFont="1" applyFill="1" applyBorder="1" applyAlignment="1">
      <alignment horizontal="center" vertical="center" wrapText="1"/>
    </xf>
    <xf numFmtId="0" fontId="12" fillId="5" borderId="35" xfId="1" applyFont="1" applyFill="1" applyBorder="1" applyAlignment="1">
      <alignment horizontal="center" vertical="center" wrapText="1"/>
    </xf>
    <xf numFmtId="0" fontId="12" fillId="5" borderId="36" xfId="1" applyFont="1" applyFill="1" applyBorder="1" applyAlignment="1">
      <alignment horizontal="center" vertical="center" wrapText="1"/>
    </xf>
    <xf numFmtId="0" fontId="12" fillId="5" borderId="37" xfId="1" applyFont="1" applyFill="1" applyBorder="1" applyAlignment="1">
      <alignment horizontal="center" vertical="center" wrapText="1"/>
    </xf>
    <xf numFmtId="0" fontId="24" fillId="5" borderId="15" xfId="2" applyFont="1" applyFill="1" applyBorder="1" applyAlignment="1">
      <alignment horizontal="center" vertical="center"/>
    </xf>
    <xf numFmtId="0" fontId="24" fillId="5" borderId="16" xfId="2" applyFont="1" applyFill="1" applyBorder="1" applyAlignment="1">
      <alignment horizontal="center" vertical="center"/>
    </xf>
    <xf numFmtId="0" fontId="24" fillId="5" borderId="17" xfId="2" applyFont="1" applyFill="1" applyBorder="1" applyAlignment="1">
      <alignment horizontal="center" vertical="center"/>
    </xf>
    <xf numFmtId="0" fontId="19" fillId="5" borderId="27" xfId="1" applyFont="1" applyFill="1" applyBorder="1" applyAlignment="1">
      <alignment horizontal="center" vertical="center" shrinkToFit="1"/>
    </xf>
    <xf numFmtId="0" fontId="19" fillId="5" borderId="28" xfId="1" applyFont="1" applyFill="1" applyBorder="1" applyAlignment="1">
      <alignment horizontal="center" vertical="center" shrinkToFit="1"/>
    </xf>
    <xf numFmtId="0" fontId="19" fillId="5" borderId="29" xfId="1" applyFont="1" applyFill="1" applyBorder="1" applyAlignment="1">
      <alignment horizontal="center" vertical="center" shrinkToFit="1"/>
    </xf>
    <xf numFmtId="0" fontId="13" fillId="5" borderId="30" xfId="1" applyFont="1" applyFill="1" applyBorder="1" applyAlignment="1">
      <alignment horizontal="center" vertical="center" wrapText="1"/>
    </xf>
    <xf numFmtId="0" fontId="13" fillId="5" borderId="31" xfId="1" applyFont="1" applyFill="1" applyBorder="1" applyAlignment="1">
      <alignment horizontal="center" vertical="center" wrapText="1"/>
    </xf>
    <xf numFmtId="0" fontId="13" fillId="5" borderId="32" xfId="1" applyFont="1" applyFill="1" applyBorder="1" applyAlignment="1">
      <alignment horizontal="center" vertical="center" wrapText="1"/>
    </xf>
    <xf numFmtId="164" fontId="30" fillId="5" borderId="15" xfId="2" applyNumberFormat="1" applyFont="1" applyFill="1" applyBorder="1" applyAlignment="1">
      <alignment horizontal="center" vertical="center" shrinkToFit="1"/>
    </xf>
    <xf numFmtId="164" fontId="30" fillId="5" borderId="16" xfId="2" applyNumberFormat="1" applyFont="1" applyFill="1" applyBorder="1" applyAlignment="1">
      <alignment horizontal="center" vertical="center" shrinkToFit="1"/>
    </xf>
    <xf numFmtId="164" fontId="30" fillId="5" borderId="17" xfId="2" applyNumberFormat="1" applyFont="1" applyFill="1" applyBorder="1" applyAlignment="1">
      <alignment horizontal="center" vertical="center" shrinkToFit="1"/>
    </xf>
    <xf numFmtId="0" fontId="30" fillId="5" borderId="15" xfId="2" applyNumberFormat="1" applyFont="1" applyFill="1" applyBorder="1" applyAlignment="1">
      <alignment horizontal="center" vertical="center" shrinkToFit="1"/>
    </xf>
    <xf numFmtId="0" fontId="30" fillId="5" borderId="16" xfId="2" applyNumberFormat="1" applyFont="1" applyFill="1" applyBorder="1" applyAlignment="1">
      <alignment horizontal="center" vertical="center" shrinkToFit="1"/>
    </xf>
    <xf numFmtId="0" fontId="30" fillId="5" borderId="17" xfId="2" applyNumberFormat="1" applyFont="1" applyFill="1" applyBorder="1" applyAlignment="1">
      <alignment horizontal="center" vertical="center" shrinkToFit="1"/>
    </xf>
    <xf numFmtId="0" fontId="12" fillId="5" borderId="38" xfId="1" applyFont="1" applyFill="1" applyBorder="1" applyAlignment="1">
      <alignment horizontal="center" vertical="center" wrapText="1"/>
    </xf>
    <xf numFmtId="0" fontId="36" fillId="5" borderId="34" xfId="1" applyFont="1" applyFill="1" applyBorder="1" applyAlignment="1">
      <alignment horizontal="center" vertical="center" wrapText="1"/>
    </xf>
    <xf numFmtId="0" fontId="36" fillId="5" borderId="35" xfId="1" applyFont="1" applyFill="1" applyBorder="1" applyAlignment="1">
      <alignment horizontal="center" vertical="center" wrapText="1"/>
    </xf>
    <xf numFmtId="0" fontId="36" fillId="5" borderId="38" xfId="1" applyFont="1" applyFill="1" applyBorder="1" applyAlignment="1">
      <alignment horizontal="center" vertical="center" wrapText="1"/>
    </xf>
    <xf numFmtId="0" fontId="23" fillId="5" borderId="9" xfId="1" applyFont="1" applyFill="1" applyBorder="1" applyAlignment="1">
      <alignment horizontal="center" vertical="center" shrinkToFit="1"/>
    </xf>
    <xf numFmtId="0" fontId="23" fillId="5" borderId="10" xfId="1" applyFont="1" applyFill="1" applyBorder="1" applyAlignment="1">
      <alignment horizontal="center" vertical="center" shrinkToFit="1"/>
    </xf>
    <xf numFmtId="0" fontId="23" fillId="5" borderId="11" xfId="1" applyFont="1" applyFill="1" applyBorder="1" applyAlignment="1">
      <alignment horizontal="center" vertical="center" shrinkToFit="1"/>
    </xf>
    <xf numFmtId="0" fontId="7" fillId="5" borderId="12" xfId="1" applyFont="1" applyFill="1" applyBorder="1" applyAlignment="1">
      <alignment horizontal="center" vertical="center"/>
    </xf>
    <xf numFmtId="0" fontId="7" fillId="5" borderId="13" xfId="1" applyFont="1" applyFill="1" applyBorder="1" applyAlignment="1">
      <alignment horizontal="center" vertical="center"/>
    </xf>
    <xf numFmtId="0" fontId="7" fillId="5" borderId="14" xfId="1" applyFont="1" applyFill="1" applyBorder="1" applyAlignment="1">
      <alignment horizontal="center" vertical="center"/>
    </xf>
    <xf numFmtId="0" fontId="12" fillId="0" borderId="27" xfId="1" applyFont="1" applyBorder="1" applyAlignment="1">
      <alignment horizontal="center" vertical="center" shrinkToFit="1"/>
    </xf>
    <xf numFmtId="0" fontId="12" fillId="0" borderId="28" xfId="1" applyFont="1" applyBorder="1" applyAlignment="1">
      <alignment horizontal="center" vertical="center" shrinkToFit="1"/>
    </xf>
    <xf numFmtId="0" fontId="12" fillId="0" borderId="42" xfId="1" applyFont="1" applyBorder="1" applyAlignment="1">
      <alignment horizontal="center" vertical="center" shrinkToFit="1"/>
    </xf>
    <xf numFmtId="0" fontId="10" fillId="0" borderId="43" xfId="1" applyFont="1" applyBorder="1" applyAlignment="1">
      <alignment horizontal="center" vertical="center" shrinkToFit="1"/>
    </xf>
    <xf numFmtId="0" fontId="10" fillId="0" borderId="28" xfId="1" applyFont="1" applyBorder="1" applyAlignment="1">
      <alignment horizontal="center" vertical="center" shrinkToFit="1"/>
    </xf>
    <xf numFmtId="0" fontId="10" fillId="0" borderId="42" xfId="1" applyFont="1" applyBorder="1" applyAlignment="1">
      <alignment horizontal="center" vertical="center" shrinkToFit="1"/>
    </xf>
    <xf numFmtId="0" fontId="10" fillId="0" borderId="29" xfId="1" applyFont="1" applyBorder="1" applyAlignment="1">
      <alignment horizontal="center" vertical="center" shrinkToFit="1"/>
    </xf>
    <xf numFmtId="0" fontId="46" fillId="5" borderId="19" xfId="1" applyFont="1" applyFill="1" applyBorder="1" applyAlignment="1">
      <alignment horizontal="center" vertical="center"/>
    </xf>
    <xf numFmtId="0" fontId="10" fillId="0" borderId="24" xfId="1" applyFont="1" applyBorder="1" applyAlignment="1">
      <alignment horizontal="center" vertical="center" shrinkToFit="1"/>
    </xf>
    <xf numFmtId="0" fontId="10" fillId="0" borderId="19" xfId="1" applyFont="1" applyBorder="1" applyAlignment="1">
      <alignment horizontal="center" vertical="center" shrinkToFit="1"/>
    </xf>
    <xf numFmtId="0" fontId="10" fillId="0" borderId="20" xfId="1" applyFont="1" applyBorder="1" applyAlignment="1">
      <alignment horizontal="center" vertical="center" shrinkToFit="1"/>
    </xf>
    <xf numFmtId="0" fontId="45" fillId="5" borderId="18" xfId="1" applyFont="1" applyFill="1" applyBorder="1" applyAlignment="1">
      <alignment horizontal="center" vertical="center"/>
    </xf>
    <xf numFmtId="0" fontId="45" fillId="5" borderId="20" xfId="1" applyFont="1" applyFill="1" applyBorder="1" applyAlignment="1">
      <alignment horizontal="center" vertical="center"/>
    </xf>
    <xf numFmtId="0" fontId="47" fillId="0" borderId="18" xfId="1" applyFont="1" applyBorder="1" applyAlignment="1">
      <alignment horizontal="center" vertical="center"/>
    </xf>
    <xf numFmtId="0" fontId="47" fillId="0" borderId="23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 shrinkToFit="1"/>
    </xf>
    <xf numFmtId="0" fontId="12" fillId="0" borderId="19" xfId="1" applyFont="1" applyBorder="1" applyAlignment="1">
      <alignment horizontal="center" vertical="center" shrinkToFit="1"/>
    </xf>
    <xf numFmtId="0" fontId="12" fillId="0" borderId="23" xfId="1" applyFont="1" applyBorder="1" applyAlignment="1">
      <alignment horizontal="center" vertical="center" shrinkToFit="1"/>
    </xf>
    <xf numFmtId="0" fontId="10" fillId="0" borderId="23" xfId="1" applyFont="1" applyBorder="1" applyAlignment="1">
      <alignment horizontal="center" vertical="center" shrinkToFit="1"/>
    </xf>
    <xf numFmtId="0" fontId="47" fillId="0" borderId="9" xfId="1" applyFont="1" applyBorder="1" applyAlignment="1">
      <alignment horizontal="center" vertical="center"/>
    </xf>
    <xf numFmtId="0" fontId="47" fillId="0" borderId="10" xfId="1" applyFont="1" applyBorder="1" applyAlignment="1">
      <alignment horizontal="center" vertical="center"/>
    </xf>
    <xf numFmtId="0" fontId="47" fillId="0" borderId="39" xfId="1" applyFont="1" applyBorder="1" applyAlignment="1">
      <alignment horizontal="center" vertical="center"/>
    </xf>
    <xf numFmtId="0" fontId="47" fillId="0" borderId="40" xfId="1" applyFont="1" applyBorder="1" applyAlignment="1">
      <alignment horizontal="center" vertical="center"/>
    </xf>
    <xf numFmtId="0" fontId="47" fillId="0" borderId="11" xfId="1" applyFont="1" applyBorder="1" applyAlignment="1">
      <alignment horizontal="center" vertical="center"/>
    </xf>
    <xf numFmtId="0" fontId="46" fillId="5" borderId="10" xfId="1" applyFont="1" applyFill="1" applyBorder="1" applyAlignment="1">
      <alignment horizontal="center" vertical="center"/>
    </xf>
    <xf numFmtId="0" fontId="48" fillId="0" borderId="9" xfId="1" applyFont="1" applyBorder="1" applyAlignment="1">
      <alignment horizontal="center" vertical="center"/>
    </xf>
    <xf numFmtId="0" fontId="48" fillId="0" borderId="10" xfId="1" applyFont="1" applyBorder="1" applyAlignment="1">
      <alignment horizontal="center" vertical="center"/>
    </xf>
    <xf numFmtId="0" fontId="48" fillId="0" borderId="39" xfId="1" applyFont="1" applyBorder="1" applyAlignment="1">
      <alignment horizontal="center" vertical="center"/>
    </xf>
    <xf numFmtId="0" fontId="48" fillId="0" borderId="40" xfId="1" applyFont="1" applyBorder="1" applyAlignment="1">
      <alignment horizontal="center" vertical="center"/>
    </xf>
    <xf numFmtId="0" fontId="48" fillId="0" borderId="11" xfId="1" applyFont="1" applyBorder="1" applyAlignment="1">
      <alignment horizontal="center" vertical="center"/>
    </xf>
    <xf numFmtId="0" fontId="45" fillId="5" borderId="10" xfId="1" applyFont="1" applyFill="1" applyBorder="1" applyAlignment="1">
      <alignment horizontal="center" vertical="center"/>
    </xf>
    <xf numFmtId="0" fontId="45" fillId="5" borderId="39" xfId="1" applyFont="1" applyFill="1" applyBorder="1" applyAlignment="1">
      <alignment horizontal="center" vertical="center"/>
    </xf>
    <xf numFmtId="0" fontId="45" fillId="5" borderId="40" xfId="1" applyFont="1" applyFill="1" applyBorder="1" applyAlignment="1">
      <alignment horizontal="center" vertical="center"/>
    </xf>
    <xf numFmtId="0" fontId="28" fillId="5" borderId="10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 vertical="center" shrinkToFit="1"/>
    </xf>
    <xf numFmtId="0" fontId="12" fillId="0" borderId="10" xfId="1" applyFont="1" applyBorder="1" applyAlignment="1">
      <alignment horizontal="center" vertical="center" shrinkToFit="1"/>
    </xf>
    <xf numFmtId="0" fontId="12" fillId="0" borderId="39" xfId="1" applyFont="1" applyBorder="1" applyAlignment="1">
      <alignment horizontal="center" vertical="center" shrinkToFit="1"/>
    </xf>
    <xf numFmtId="0" fontId="10" fillId="0" borderId="40" xfId="1" applyNumberFormat="1" applyFont="1" applyBorder="1" applyAlignment="1">
      <alignment horizontal="center" vertical="center" shrinkToFit="1"/>
    </xf>
    <xf numFmtId="0" fontId="10" fillId="0" borderId="10" xfId="1" applyNumberFormat="1" applyFont="1" applyBorder="1" applyAlignment="1">
      <alignment horizontal="center" vertical="center" shrinkToFit="1"/>
    </xf>
    <xf numFmtId="0" fontId="10" fillId="0" borderId="39" xfId="1" applyNumberFormat="1" applyFont="1" applyBorder="1" applyAlignment="1">
      <alignment horizontal="center" vertical="center" shrinkToFit="1"/>
    </xf>
    <xf numFmtId="0" fontId="10" fillId="0" borderId="40" xfId="1" applyFont="1" applyBorder="1" applyAlignment="1">
      <alignment horizontal="center" vertical="center" shrinkToFit="1"/>
    </xf>
    <xf numFmtId="0" fontId="10" fillId="0" borderId="10" xfId="1" applyFont="1" applyBorder="1" applyAlignment="1">
      <alignment horizontal="center" vertical="center" shrinkToFit="1"/>
    </xf>
    <xf numFmtId="0" fontId="10" fillId="0" borderId="39" xfId="1" applyFont="1" applyBorder="1" applyAlignment="1">
      <alignment horizontal="center" vertical="center" shrinkToFit="1"/>
    </xf>
    <xf numFmtId="0" fontId="45" fillId="5" borderId="9" xfId="1" applyFont="1" applyFill="1" applyBorder="1" applyAlignment="1">
      <alignment horizontal="center" vertical="center"/>
    </xf>
    <xf numFmtId="0" fontId="1" fillId="0" borderId="86" xfId="0" applyFont="1" applyBorder="1" applyAlignment="1">
      <alignment horizontal="center" vertical="center"/>
    </xf>
    <xf numFmtId="0" fontId="1" fillId="0" borderId="8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86" xfId="0" applyFont="1" applyFill="1" applyBorder="1" applyAlignment="1">
      <alignment horizontal="center" vertical="center" wrapText="1"/>
    </xf>
    <xf numFmtId="0" fontId="1" fillId="0" borderId="8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" fillId="0" borderId="86" xfId="0" applyFont="1" applyFill="1" applyBorder="1" applyAlignment="1">
      <alignment horizontal="center" vertical="center"/>
    </xf>
    <xf numFmtId="0" fontId="1" fillId="0" borderId="8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3" fillId="0" borderId="0" xfId="4" applyFont="1" applyAlignment="1">
      <alignment horizontal="center" vertical="center" wrapText="1"/>
    </xf>
    <xf numFmtId="0" fontId="63" fillId="0" borderId="0" xfId="4" applyFont="1" applyAlignment="1">
      <alignment horizontal="center" vertical="center"/>
    </xf>
    <xf numFmtId="0" fontId="64" fillId="0" borderId="0" xfId="4" applyFont="1" applyAlignment="1">
      <alignment horizontal="center" vertical="center"/>
    </xf>
    <xf numFmtId="166" fontId="65" fillId="0" borderId="0" xfId="4" applyNumberFormat="1" applyFont="1" applyAlignment="1">
      <alignment horizontal="center" vertical="center"/>
    </xf>
    <xf numFmtId="0" fontId="65" fillId="0" borderId="5" xfId="4" applyFont="1" applyBorder="1" applyAlignment="1">
      <alignment horizontal="center" vertical="center"/>
    </xf>
    <xf numFmtId="166" fontId="65" fillId="0" borderId="8" xfId="4" applyNumberFormat="1" applyFont="1" applyFill="1" applyBorder="1" applyAlignment="1">
      <alignment horizontal="center" vertical="center"/>
    </xf>
    <xf numFmtId="49" fontId="65" fillId="0" borderId="5" xfId="4" applyNumberFormat="1" applyFont="1" applyFill="1" applyBorder="1" applyAlignment="1">
      <alignment horizontal="center" vertical="center"/>
    </xf>
    <xf numFmtId="49" fontId="65" fillId="0" borderId="19" xfId="4" applyNumberFormat="1" applyFont="1" applyFill="1" applyBorder="1" applyAlignment="1">
      <alignment horizontal="center" vertical="center"/>
    </xf>
    <xf numFmtId="0" fontId="65" fillId="0" borderId="5" xfId="4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0" borderId="0" xfId="0" applyFont="1" applyFill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 wrapText="1"/>
    </xf>
    <xf numFmtId="49" fontId="89" fillId="0" borderId="1" xfId="0" applyNumberFormat="1" applyFont="1" applyFill="1" applyBorder="1" applyAlignment="1">
      <alignment horizontal="center" vertical="center"/>
    </xf>
    <xf numFmtId="0" fontId="1" fillId="20" borderId="25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center" vertical="center"/>
    </xf>
    <xf numFmtId="0" fontId="1" fillId="20" borderId="26" xfId="0" applyFont="1" applyFill="1" applyBorder="1" applyAlignment="1">
      <alignment horizontal="center" vertical="center"/>
    </xf>
    <xf numFmtId="0" fontId="1" fillId="20" borderId="7" xfId="0" applyFont="1" applyFill="1" applyBorder="1" applyAlignment="1">
      <alignment horizontal="center" vertical="center"/>
    </xf>
    <xf numFmtId="0" fontId="1" fillId="20" borderId="5" xfId="0" applyFont="1" applyFill="1" applyBorder="1" applyAlignment="1">
      <alignment horizontal="center" vertical="center"/>
    </xf>
    <xf numFmtId="0" fontId="1" fillId="20" borderId="6" xfId="0" applyFont="1" applyFill="1" applyBorder="1" applyAlignment="1">
      <alignment horizontal="center" vertical="center"/>
    </xf>
    <xf numFmtId="0" fontId="89" fillId="0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88" fillId="0" borderId="5" xfId="0" applyFont="1" applyFill="1" applyBorder="1" applyAlignment="1">
      <alignment horizontal="center" vertical="center"/>
    </xf>
    <xf numFmtId="0" fontId="89" fillId="0" borderId="86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1" fillId="20" borderId="0" xfId="0" applyFont="1" applyFill="1" applyBorder="1" applyAlignment="1">
      <alignment horizontal="center" vertical="center"/>
    </xf>
    <xf numFmtId="0" fontId="1" fillId="20" borderId="4" xfId="0" applyFont="1" applyFill="1" applyBorder="1" applyAlignment="1">
      <alignment horizontal="center" vertical="center"/>
    </xf>
    <xf numFmtId="0" fontId="91" fillId="0" borderId="0" xfId="0" applyFont="1" applyAlignment="1">
      <alignment horizontal="center" wrapText="1"/>
    </xf>
    <xf numFmtId="0" fontId="87" fillId="0" borderId="23" xfId="0" applyFont="1" applyBorder="1" applyAlignment="1">
      <alignment horizontal="center" vertical="center"/>
    </xf>
    <xf numFmtId="0" fontId="73" fillId="0" borderId="56" xfId="6" applyFont="1" applyBorder="1" applyAlignment="1">
      <alignment horizontal="left" vertical="center"/>
    </xf>
    <xf numFmtId="0" fontId="73" fillId="0" borderId="57" xfId="6" applyFont="1" applyBorder="1" applyAlignment="1">
      <alignment horizontal="left" vertical="center"/>
    </xf>
    <xf numFmtId="0" fontId="73" fillId="0" borderId="58" xfId="6" applyFont="1" applyBorder="1" applyAlignment="1">
      <alignment horizontal="left" vertical="center"/>
    </xf>
    <xf numFmtId="0" fontId="40" fillId="16" borderId="15" xfId="6" applyFont="1" applyFill="1" applyBorder="1" applyAlignment="1">
      <alignment horizontal="center" vertical="center"/>
    </xf>
    <xf numFmtId="0" fontId="40" fillId="16" borderId="47" xfId="6" applyFont="1" applyFill="1" applyBorder="1" applyAlignment="1">
      <alignment horizontal="center" vertical="center"/>
    </xf>
    <xf numFmtId="0" fontId="73" fillId="0" borderId="16" xfId="6" applyFont="1" applyBorder="1" applyAlignment="1">
      <alignment horizontal="center" vertical="center" shrinkToFit="1"/>
    </xf>
    <xf numFmtId="0" fontId="73" fillId="0" borderId="17" xfId="6" applyFont="1" applyBorder="1" applyAlignment="1">
      <alignment horizontal="center" vertical="center" shrinkToFit="1"/>
    </xf>
    <xf numFmtId="0" fontId="73" fillId="0" borderId="49" xfId="6" applyFont="1" applyBorder="1" applyAlignment="1">
      <alignment horizontal="center" vertical="center" shrinkToFit="1"/>
    </xf>
    <xf numFmtId="0" fontId="71" fillId="0" borderId="50" xfId="6" applyFont="1" applyBorder="1" applyAlignment="1">
      <alignment horizontal="center" vertical="center" shrinkToFit="1"/>
    </xf>
    <xf numFmtId="0" fontId="71" fillId="0" borderId="33" xfId="6" applyFont="1" applyBorder="1" applyAlignment="1">
      <alignment horizontal="center" vertical="center" shrinkToFit="1"/>
    </xf>
    <xf numFmtId="0" fontId="71" fillId="0" borderId="51" xfId="6" applyFont="1" applyBorder="1" applyAlignment="1">
      <alignment horizontal="center" vertical="center" shrinkToFit="1"/>
    </xf>
    <xf numFmtId="0" fontId="71" fillId="0" borderId="15" xfId="6" applyFont="1" applyBorder="1" applyAlignment="1">
      <alignment horizontal="center" vertical="center" shrinkToFit="1"/>
    </xf>
    <xf numFmtId="0" fontId="71" fillId="0" borderId="16" xfId="6" applyFont="1" applyBorder="1" applyAlignment="1">
      <alignment horizontal="center" vertical="center" shrinkToFit="1"/>
    </xf>
    <xf numFmtId="0" fontId="71" fillId="0" borderId="17" xfId="6" applyFont="1" applyBorder="1" applyAlignment="1">
      <alignment horizontal="center" vertical="center" shrinkToFit="1"/>
    </xf>
    <xf numFmtId="0" fontId="70" fillId="16" borderId="52" xfId="6" applyFont="1" applyFill="1" applyBorder="1" applyAlignment="1">
      <alignment horizontal="center" vertical="center"/>
    </xf>
    <xf numFmtId="0" fontId="70" fillId="16" borderId="53" xfId="6" applyFont="1" applyFill="1" applyBorder="1" applyAlignment="1">
      <alignment horizontal="center" vertical="center"/>
    </xf>
    <xf numFmtId="0" fontId="70" fillId="16" borderId="54" xfId="6" applyFont="1" applyFill="1" applyBorder="1" applyAlignment="1">
      <alignment horizontal="center" vertical="center"/>
    </xf>
    <xf numFmtId="164" fontId="73" fillId="0" borderId="15" xfId="6" applyNumberFormat="1" applyFont="1" applyBorder="1" applyAlignment="1">
      <alignment horizontal="center" vertical="center" shrinkToFit="1"/>
    </xf>
    <xf numFmtId="164" fontId="73" fillId="0" borderId="48" xfId="6" applyNumberFormat="1" applyFont="1" applyBorder="1" applyAlignment="1">
      <alignment horizontal="center" vertical="center" shrinkToFit="1"/>
    </xf>
    <xf numFmtId="165" fontId="73" fillId="0" borderId="49" xfId="6" applyNumberFormat="1" applyFont="1" applyBorder="1" applyAlignment="1">
      <alignment horizontal="center" vertical="center" shrinkToFit="1"/>
    </xf>
    <xf numFmtId="165" fontId="73" fillId="0" borderId="48" xfId="6" applyNumberFormat="1" applyFont="1" applyBorder="1" applyAlignment="1">
      <alignment horizontal="center" vertical="center" shrinkToFit="1"/>
    </xf>
    <xf numFmtId="0" fontId="94" fillId="0" borderId="0" xfId="6" applyFont="1" applyAlignment="1">
      <alignment horizontal="center" vertical="center" wrapText="1" shrinkToFit="1"/>
    </xf>
    <xf numFmtId="0" fontId="71" fillId="15" borderId="0" xfId="6" applyFont="1" applyFill="1" applyBorder="1" applyAlignment="1" applyProtection="1">
      <alignment horizontal="center" vertical="center" shrinkToFit="1"/>
    </xf>
    <xf numFmtId="0" fontId="71" fillId="16" borderId="15" xfId="6" applyFont="1" applyFill="1" applyBorder="1" applyAlignment="1">
      <alignment horizontal="center" vertical="center" shrinkToFit="1"/>
    </xf>
    <xf numFmtId="0" fontId="71" fillId="16" borderId="16" xfId="6" applyFont="1" applyFill="1" applyBorder="1" applyAlignment="1">
      <alignment horizontal="center" vertical="center" shrinkToFit="1"/>
    </xf>
    <xf numFmtId="0" fontId="72" fillId="16" borderId="15" xfId="6" applyFont="1" applyFill="1" applyBorder="1" applyAlignment="1">
      <alignment horizontal="center" vertical="center"/>
    </xf>
    <xf numFmtId="0" fontId="72" fillId="16" borderId="47" xfId="6" applyFont="1" applyFill="1" applyBorder="1" applyAlignment="1">
      <alignment horizontal="center" vertical="center"/>
    </xf>
    <xf numFmtId="0" fontId="73" fillId="0" borderId="16" xfId="6" applyFont="1" applyBorder="1" applyAlignment="1" applyProtection="1">
      <alignment horizontal="center" vertical="center" shrinkToFit="1"/>
    </xf>
    <xf numFmtId="0" fontId="73" fillId="0" borderId="17" xfId="6" applyFont="1" applyBorder="1" applyAlignment="1" applyProtection="1">
      <alignment horizontal="center" vertical="center" shrinkToFit="1"/>
    </xf>
    <xf numFmtId="0" fontId="94" fillId="0" borderId="0" xfId="6" applyFont="1" applyAlignment="1">
      <alignment horizontal="center" vertical="center" shrinkToFit="1"/>
    </xf>
    <xf numFmtId="0" fontId="79" fillId="0" borderId="56" xfId="6" applyFont="1" applyBorder="1" applyAlignment="1">
      <alignment vertical="center"/>
    </xf>
    <xf numFmtId="0" fontId="79" fillId="0" borderId="57" xfId="6" applyFont="1" applyBorder="1" applyAlignment="1">
      <alignment vertical="center"/>
    </xf>
    <xf numFmtId="0" fontId="79" fillId="0" borderId="76" xfId="6" applyFont="1" applyBorder="1" applyAlignment="1">
      <alignment vertical="center"/>
    </xf>
    <xf numFmtId="0" fontId="70" fillId="16" borderId="79" xfId="6" applyFont="1" applyFill="1" applyBorder="1" applyAlignment="1">
      <alignment horizontal="center" vertical="center"/>
    </xf>
    <xf numFmtId="0" fontId="70" fillId="16" borderId="19" xfId="6" applyFont="1" applyFill="1" applyBorder="1" applyAlignment="1">
      <alignment horizontal="center" vertical="center"/>
    </xf>
    <xf numFmtId="0" fontId="70" fillId="16" borderId="23" xfId="6" applyFont="1" applyFill="1" applyBorder="1" applyAlignment="1">
      <alignment horizontal="center" vertical="center"/>
    </xf>
    <xf numFmtId="0" fontId="70" fillId="0" borderId="79" xfId="6" applyFont="1" applyFill="1" applyBorder="1" applyAlignment="1">
      <alignment horizontal="center" vertical="center"/>
    </xf>
    <xf numFmtId="0" fontId="70" fillId="0" borderId="19" xfId="6" applyFont="1" applyFill="1" applyBorder="1" applyAlignment="1">
      <alignment horizontal="center" vertical="center"/>
    </xf>
    <xf numFmtId="0" fontId="70" fillId="0" borderId="23" xfId="6" applyFont="1" applyFill="1" applyBorder="1" applyAlignment="1">
      <alignment horizontal="center" vertical="center"/>
    </xf>
    <xf numFmtId="0" fontId="73" fillId="0" borderId="0" xfId="6" applyFont="1" applyBorder="1" applyAlignment="1">
      <alignment horizontal="center" vertical="center"/>
    </xf>
    <xf numFmtId="0" fontId="73" fillId="0" borderId="0" xfId="6" applyFont="1" applyBorder="1" applyAlignment="1">
      <alignment horizontal="left" vertical="center"/>
    </xf>
    <xf numFmtId="0" fontId="73" fillId="0" borderId="63" xfId="6" applyFont="1" applyBorder="1" applyAlignment="1">
      <alignment horizontal="left" vertical="center"/>
    </xf>
    <xf numFmtId="0" fontId="73" fillId="0" borderId="64" xfId="6" applyFont="1" applyBorder="1" applyAlignment="1">
      <alignment horizontal="left" vertical="center"/>
    </xf>
    <xf numFmtId="0" fontId="73" fillId="0" borderId="65" xfId="6" applyFont="1" applyBorder="1" applyAlignment="1">
      <alignment horizontal="left" vertical="center"/>
    </xf>
    <xf numFmtId="0" fontId="81" fillId="16" borderId="25" xfId="6" applyFont="1" applyFill="1" applyBorder="1" applyAlignment="1">
      <alignment horizontal="center" vertical="center"/>
    </xf>
    <xf numFmtId="0" fontId="81" fillId="16" borderId="82" xfId="6" applyFont="1" applyFill="1" applyBorder="1" applyAlignment="1">
      <alignment horizontal="center" vertical="center"/>
    </xf>
    <xf numFmtId="0" fontId="81" fillId="16" borderId="7" xfId="6" applyFont="1" applyFill="1" applyBorder="1" applyAlignment="1">
      <alignment horizontal="center" vertical="center"/>
    </xf>
    <xf numFmtId="0" fontId="81" fillId="16" borderId="83" xfId="6" applyFont="1" applyFill="1" applyBorder="1" applyAlignment="1">
      <alignment horizontal="center" vertical="center"/>
    </xf>
    <xf numFmtId="0" fontId="79" fillId="0" borderId="84" xfId="6" applyFont="1" applyBorder="1" applyAlignment="1">
      <alignment horizontal="center" vertical="center"/>
    </xf>
    <xf numFmtId="0" fontId="79" fillId="0" borderId="8" xfId="6" applyFont="1" applyBorder="1" applyAlignment="1">
      <alignment horizontal="center" vertical="center"/>
    </xf>
    <xf numFmtId="0" fontId="79" fillId="0" borderId="26" xfId="6" applyFont="1" applyBorder="1" applyAlignment="1">
      <alignment horizontal="center" vertical="center"/>
    </xf>
    <xf numFmtId="0" fontId="79" fillId="0" borderId="85" xfId="6" applyFont="1" applyBorder="1" applyAlignment="1">
      <alignment horizontal="center" vertical="center"/>
    </xf>
    <xf numFmtId="0" fontId="79" fillId="0" borderId="5" xfId="6" applyFont="1" applyBorder="1" applyAlignment="1">
      <alignment horizontal="center" vertical="center"/>
    </xf>
    <xf numFmtId="0" fontId="79" fillId="0" borderId="6" xfId="6" applyFont="1" applyBorder="1" applyAlignment="1">
      <alignment horizontal="center" vertical="center"/>
    </xf>
    <xf numFmtId="0" fontId="79" fillId="0" borderId="71" xfId="6" applyFont="1" applyBorder="1" applyAlignment="1">
      <alignment vertical="center"/>
    </xf>
    <xf numFmtId="0" fontId="79" fillId="0" borderId="72" xfId="6" applyFont="1" applyBorder="1" applyAlignment="1">
      <alignment vertical="center"/>
    </xf>
    <xf numFmtId="0" fontId="79" fillId="0" borderId="73" xfId="6" applyFont="1" applyBorder="1" applyAlignment="1">
      <alignment vertical="center"/>
    </xf>
    <xf numFmtId="0" fontId="80" fillId="16" borderId="25" xfId="6" applyFont="1" applyFill="1" applyBorder="1" applyAlignment="1">
      <alignment horizontal="center" vertical="center"/>
    </xf>
    <xf numFmtId="0" fontId="80" fillId="16" borderId="8" xfId="6" applyFont="1" applyFill="1" applyBorder="1" applyAlignment="1">
      <alignment horizontal="center" vertical="center"/>
    </xf>
    <xf numFmtId="0" fontId="80" fillId="16" borderId="26" xfId="6" applyFont="1" applyFill="1" applyBorder="1" applyAlignment="1">
      <alignment horizontal="center" vertical="center"/>
    </xf>
    <xf numFmtId="0" fontId="77" fillId="16" borderId="25" xfId="6" applyFont="1" applyFill="1" applyBorder="1" applyAlignment="1">
      <alignment horizontal="center" vertical="center" shrinkToFit="1"/>
    </xf>
    <xf numFmtId="0" fontId="77" fillId="16" borderId="8" xfId="6" applyFont="1" applyFill="1" applyBorder="1" applyAlignment="1">
      <alignment horizontal="center" vertical="center" shrinkToFit="1"/>
    </xf>
    <xf numFmtId="0" fontId="77" fillId="16" borderId="26" xfId="6" applyFont="1" applyFill="1" applyBorder="1" applyAlignment="1">
      <alignment horizontal="center" vertical="center" shrinkToFit="1"/>
    </xf>
    <xf numFmtId="0" fontId="75" fillId="16" borderId="24" xfId="6" applyFont="1" applyFill="1" applyBorder="1" applyAlignment="1">
      <alignment horizontal="center" vertical="center"/>
    </xf>
    <xf numFmtId="0" fontId="75" fillId="16" borderId="68" xfId="6" applyFont="1" applyFill="1" applyBorder="1" applyAlignment="1">
      <alignment horizontal="center" vertical="center"/>
    </xf>
    <xf numFmtId="0" fontId="76" fillId="0" borderId="19" xfId="6" applyFont="1" applyBorder="1" applyAlignment="1">
      <alignment horizontal="center" vertical="center" shrinkToFit="1"/>
    </xf>
    <xf numFmtId="0" fontId="76" fillId="0" borderId="23" xfId="6" applyFont="1" applyBorder="1" applyAlignment="1">
      <alignment horizontal="center" vertical="center" shrinkToFit="1"/>
    </xf>
    <xf numFmtId="0" fontId="80" fillId="16" borderId="7" xfId="6" applyFont="1" applyFill="1" applyBorder="1" applyAlignment="1">
      <alignment horizontal="center" vertical="center"/>
    </xf>
    <xf numFmtId="0" fontId="80" fillId="16" borderId="5" xfId="6" applyFont="1" applyFill="1" applyBorder="1" applyAlignment="1">
      <alignment horizontal="center" vertical="center"/>
    </xf>
    <xf numFmtId="0" fontId="80" fillId="16" borderId="6" xfId="6" applyFont="1" applyFill="1" applyBorder="1" applyAlignment="1">
      <alignment horizontal="center" vertical="center"/>
    </xf>
    <xf numFmtId="0" fontId="82" fillId="16" borderId="25" xfId="6" applyFont="1" applyFill="1" applyBorder="1" applyAlignment="1">
      <alignment horizontal="center" vertical="center"/>
    </xf>
    <xf numFmtId="0" fontId="82" fillId="16" borderId="82" xfId="6" applyFont="1" applyFill="1" applyBorder="1" applyAlignment="1">
      <alignment horizontal="center" vertical="center"/>
    </xf>
    <xf numFmtId="0" fontId="82" fillId="16" borderId="7" xfId="6" applyFont="1" applyFill="1" applyBorder="1" applyAlignment="1">
      <alignment horizontal="center" vertical="center"/>
    </xf>
    <xf numFmtId="0" fontId="82" fillId="16" borderId="83" xfId="6" applyFont="1" applyFill="1" applyBorder="1" applyAlignment="1">
      <alignment horizontal="center" vertical="center"/>
    </xf>
    <xf numFmtId="0" fontId="4" fillId="5" borderId="8" xfId="1" applyFont="1" applyFill="1" applyBorder="1" applyAlignment="1">
      <alignment horizontal="center"/>
    </xf>
    <xf numFmtId="0" fontId="7" fillId="5" borderId="8" xfId="1" applyFont="1" applyFill="1" applyBorder="1" applyAlignment="1">
      <alignment horizontal="center" wrapText="1"/>
    </xf>
    <xf numFmtId="0" fontId="7" fillId="5" borderId="0" xfId="1" applyFont="1" applyFill="1" applyBorder="1" applyAlignment="1">
      <alignment horizontal="center" wrapText="1"/>
    </xf>
    <xf numFmtId="0" fontId="7" fillId="5" borderId="0" xfId="1" applyFont="1" applyFill="1" applyBorder="1" applyAlignment="1">
      <alignment horizontal="center"/>
    </xf>
    <xf numFmtId="0" fontId="4" fillId="5" borderId="25" xfId="1" applyFont="1" applyFill="1" applyBorder="1" applyAlignment="1">
      <alignment horizontal="center"/>
    </xf>
    <xf numFmtId="0" fontId="4" fillId="5" borderId="26" xfId="1" applyFont="1" applyFill="1" applyBorder="1" applyAlignment="1">
      <alignment horizontal="center"/>
    </xf>
    <xf numFmtId="0" fontId="4" fillId="5" borderId="3" xfId="1" applyFont="1" applyFill="1" applyBorder="1" applyAlignment="1">
      <alignment horizontal="center"/>
    </xf>
    <xf numFmtId="0" fontId="4" fillId="5" borderId="0" xfId="1" applyFont="1" applyFill="1" applyBorder="1" applyAlignment="1">
      <alignment horizontal="center"/>
    </xf>
    <xf numFmtId="0" fontId="4" fillId="5" borderId="4" xfId="1" applyFont="1" applyFill="1" applyBorder="1" applyAlignment="1">
      <alignment horizontal="center"/>
    </xf>
    <xf numFmtId="0" fontId="4" fillId="5" borderId="7" xfId="1" applyFont="1" applyFill="1" applyBorder="1" applyAlignment="1">
      <alignment horizontal="center"/>
    </xf>
    <xf numFmtId="0" fontId="4" fillId="5" borderId="5" xfId="1" applyFont="1" applyFill="1" applyBorder="1" applyAlignment="1">
      <alignment horizontal="center"/>
    </xf>
    <xf numFmtId="0" fontId="4" fillId="5" borderId="6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5" borderId="0" xfId="1" applyFont="1" applyFill="1" applyBorder="1" applyAlignment="1">
      <alignment horizontal="center"/>
    </xf>
    <xf numFmtId="0" fontId="12" fillId="0" borderId="24" xfId="1" applyFont="1" applyBorder="1" applyAlignment="1">
      <alignment horizontal="center" vertical="center"/>
    </xf>
    <xf numFmtId="0" fontId="12" fillId="0" borderId="19" xfId="1" applyFont="1" applyBorder="1" applyAlignment="1">
      <alignment horizontal="center" vertical="center"/>
    </xf>
    <xf numFmtId="0" fontId="12" fillId="0" borderId="23" xfId="1" applyFont="1" applyBorder="1" applyAlignment="1">
      <alignment horizontal="center" vertical="center"/>
    </xf>
    <xf numFmtId="0" fontId="4" fillId="5" borderId="24" xfId="1" applyFont="1" applyFill="1" applyBorder="1" applyAlignment="1">
      <alignment horizontal="center"/>
    </xf>
    <xf numFmtId="0" fontId="4" fillId="5" borderId="19" xfId="1" applyFont="1" applyFill="1" applyBorder="1" applyAlignment="1">
      <alignment horizontal="center"/>
    </xf>
    <xf numFmtId="0" fontId="4" fillId="5" borderId="23" xfId="1" applyFont="1" applyFill="1" applyBorder="1" applyAlignment="1">
      <alignment horizontal="center"/>
    </xf>
    <xf numFmtId="0" fontId="10" fillId="0" borderId="24" xfId="1" applyFont="1" applyBorder="1" applyAlignment="1">
      <alignment horizontal="center" vertical="center"/>
    </xf>
    <xf numFmtId="0" fontId="10" fillId="0" borderId="19" xfId="1" applyFont="1" applyBorder="1" applyAlignment="1">
      <alignment horizontal="center" vertical="center"/>
    </xf>
    <xf numFmtId="0" fontId="10" fillId="0" borderId="23" xfId="1" applyFont="1" applyBorder="1" applyAlignment="1">
      <alignment horizontal="center" vertical="center"/>
    </xf>
    <xf numFmtId="0" fontId="8" fillId="5" borderId="8" xfId="1" applyFont="1" applyFill="1" applyBorder="1" applyAlignment="1">
      <alignment horizontal="center"/>
    </xf>
    <xf numFmtId="0" fontId="4" fillId="5" borderId="24" xfId="1" applyFill="1" applyBorder="1" applyAlignment="1">
      <alignment horizontal="center"/>
    </xf>
    <xf numFmtId="0" fontId="4" fillId="5" borderId="23" xfId="1" applyFill="1" applyBorder="1" applyAlignment="1">
      <alignment horizontal="center"/>
    </xf>
    <xf numFmtId="0" fontId="19" fillId="5" borderId="18" xfId="1" applyFont="1" applyFill="1" applyBorder="1" applyAlignment="1">
      <alignment horizontal="center" vertical="center" shrinkToFit="1"/>
    </xf>
    <xf numFmtId="0" fontId="19" fillId="5" borderId="19" xfId="1" applyFont="1" applyFill="1" applyBorder="1" applyAlignment="1">
      <alignment horizontal="center" vertical="center" shrinkToFit="1"/>
    </xf>
    <xf numFmtId="0" fontId="19" fillId="5" borderId="20" xfId="1" applyFont="1" applyFill="1" applyBorder="1" applyAlignment="1">
      <alignment horizontal="center" vertical="center" shrinkToFit="1"/>
    </xf>
    <xf numFmtId="0" fontId="59" fillId="5" borderId="8" xfId="4" applyFont="1" applyFill="1" applyBorder="1" applyAlignment="1">
      <alignment horizontal="center" vertical="center" wrapText="1"/>
    </xf>
    <xf numFmtId="0" fontId="61" fillId="4" borderId="8" xfId="1" applyFont="1" applyFill="1" applyBorder="1" applyAlignment="1">
      <alignment horizontal="center" vertical="center"/>
    </xf>
    <xf numFmtId="0" fontId="61" fillId="4" borderId="0" xfId="1" applyFont="1" applyFill="1" applyBorder="1" applyAlignment="1">
      <alignment horizontal="center" vertical="center"/>
    </xf>
    <xf numFmtId="0" fontId="23" fillId="5" borderId="9" xfId="1" applyFont="1" applyFill="1" applyBorder="1" applyAlignment="1">
      <alignment horizontal="center" vertical="center"/>
    </xf>
    <xf numFmtId="0" fontId="23" fillId="5" borderId="10" xfId="1" applyFont="1" applyFill="1" applyBorder="1" applyAlignment="1">
      <alignment horizontal="center" vertical="center"/>
    </xf>
    <xf numFmtId="0" fontId="23" fillId="5" borderId="11" xfId="1" applyFont="1" applyFill="1" applyBorder="1" applyAlignment="1">
      <alignment horizontal="center" vertical="center"/>
    </xf>
    <xf numFmtId="0" fontId="29" fillId="14" borderId="0" xfId="1" applyFont="1" applyFill="1" applyBorder="1" applyAlignment="1">
      <alignment horizontal="center" vertical="center"/>
    </xf>
    <xf numFmtId="0" fontId="10" fillId="5" borderId="0" xfId="1" applyFont="1" applyFill="1" applyBorder="1" applyAlignment="1">
      <alignment horizontal="center" vertical="center"/>
    </xf>
    <xf numFmtId="0" fontId="10" fillId="5" borderId="5" xfId="1" applyFont="1" applyFill="1" applyBorder="1" applyAlignment="1">
      <alignment horizontal="center" vertical="center"/>
    </xf>
    <xf numFmtId="0" fontId="28" fillId="0" borderId="41" xfId="1" applyFont="1" applyBorder="1" applyAlignment="1">
      <alignment horizontal="center" vertical="center"/>
    </xf>
    <xf numFmtId="0" fontId="57" fillId="0" borderId="25" xfId="2" applyFont="1" applyBorder="1" applyAlignment="1">
      <alignment horizontal="center" vertical="center"/>
    </xf>
    <xf numFmtId="0" fontId="57" fillId="0" borderId="8" xfId="2" applyFont="1" applyBorder="1" applyAlignment="1">
      <alignment horizontal="center" vertical="center"/>
    </xf>
    <xf numFmtId="0" fontId="57" fillId="0" borderId="26" xfId="2" applyFont="1" applyBorder="1" applyAlignment="1">
      <alignment horizontal="center" vertical="center"/>
    </xf>
    <xf numFmtId="0" fontId="57" fillId="0" borderId="7" xfId="2" applyFont="1" applyBorder="1" applyAlignment="1">
      <alignment horizontal="center" vertical="center"/>
    </xf>
    <xf numFmtId="0" fontId="57" fillId="0" borderId="5" xfId="2" applyFont="1" applyBorder="1" applyAlignment="1">
      <alignment horizontal="center" vertical="center"/>
    </xf>
    <xf numFmtId="0" fontId="57" fillId="0" borderId="6" xfId="2" applyFont="1" applyBorder="1" applyAlignment="1">
      <alignment horizontal="center" vertical="center"/>
    </xf>
    <xf numFmtId="0" fontId="13" fillId="5" borderId="24" xfId="1" applyFont="1" applyFill="1" applyBorder="1" applyAlignment="1">
      <alignment horizontal="center" vertical="center"/>
    </xf>
    <xf numFmtId="0" fontId="13" fillId="5" borderId="19" xfId="1" applyFont="1" applyFill="1" applyBorder="1" applyAlignment="1">
      <alignment horizontal="center" vertical="center"/>
    </xf>
    <xf numFmtId="0" fontId="13" fillId="5" borderId="23" xfId="1" applyFont="1" applyFill="1" applyBorder="1" applyAlignment="1">
      <alignment horizontal="center" vertical="center"/>
    </xf>
    <xf numFmtId="0" fontId="12" fillId="0" borderId="41" xfId="1" applyFont="1" applyBorder="1" applyAlignment="1">
      <alignment horizontal="center" vertical="center"/>
    </xf>
    <xf numFmtId="0" fontId="12" fillId="0" borderId="25" xfId="2" applyFont="1" applyBorder="1" applyAlignment="1">
      <alignment horizontal="center" vertical="center" wrapText="1"/>
    </xf>
    <xf numFmtId="0" fontId="12" fillId="0" borderId="8" xfId="2" applyFont="1" applyBorder="1" applyAlignment="1">
      <alignment horizontal="center" vertical="center" wrapText="1"/>
    </xf>
    <xf numFmtId="0" fontId="12" fillId="0" borderId="26" xfId="2" applyFont="1" applyBorder="1" applyAlignment="1">
      <alignment horizontal="center" vertical="center" wrapText="1"/>
    </xf>
    <xf numFmtId="0" fontId="10" fillId="0" borderId="41" xfId="1" applyFont="1" applyBorder="1" applyAlignment="1">
      <alignment horizontal="center" vertical="center"/>
    </xf>
    <xf numFmtId="0" fontId="57" fillId="0" borderId="7" xfId="2" applyFont="1" applyBorder="1" applyAlignment="1">
      <alignment horizontal="center" vertical="center" wrapText="1"/>
    </xf>
    <xf numFmtId="0" fontId="57" fillId="0" borderId="5" xfId="2" applyFont="1" applyBorder="1" applyAlignment="1">
      <alignment horizontal="center" vertical="center" wrapText="1"/>
    </xf>
    <xf numFmtId="0" fontId="57" fillId="0" borderId="6" xfId="2" applyFont="1" applyBorder="1" applyAlignment="1">
      <alignment horizontal="center" vertical="center" wrapText="1"/>
    </xf>
    <xf numFmtId="0" fontId="55" fillId="5" borderId="13" xfId="1" applyFont="1" applyFill="1" applyBorder="1" applyAlignment="1">
      <alignment horizontal="center" vertical="center"/>
    </xf>
    <xf numFmtId="0" fontId="12" fillId="0" borderId="27" xfId="1" applyFont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0" fontId="10" fillId="0" borderId="43" xfId="1" applyFont="1" applyBorder="1" applyAlignment="1">
      <alignment horizontal="center" vertical="center"/>
    </xf>
    <xf numFmtId="0" fontId="10" fillId="0" borderId="28" xfId="1" applyFont="1" applyBorder="1" applyAlignment="1">
      <alignment horizontal="center" vertical="center"/>
    </xf>
    <xf numFmtId="0" fontId="10" fillId="0" borderId="42" xfId="1" applyFont="1" applyBorder="1" applyAlignment="1">
      <alignment horizontal="center" vertical="center"/>
    </xf>
    <xf numFmtId="0" fontId="4" fillId="0" borderId="43" xfId="1" applyFont="1" applyBorder="1" applyAlignment="1">
      <alignment horizontal="center"/>
    </xf>
    <xf numFmtId="0" fontId="4" fillId="0" borderId="28" xfId="1" applyFont="1" applyBorder="1" applyAlignment="1">
      <alignment horizontal="center"/>
    </xf>
    <xf numFmtId="0" fontId="4" fillId="0" borderId="42" xfId="1" applyFont="1" applyBorder="1" applyAlignment="1">
      <alignment horizontal="center"/>
    </xf>
    <xf numFmtId="0" fontId="44" fillId="0" borderId="43" xfId="1" applyFont="1" applyBorder="1" applyAlignment="1">
      <alignment horizontal="center"/>
    </xf>
    <xf numFmtId="0" fontId="4" fillId="0" borderId="29" xfId="1" applyFont="1" applyBorder="1" applyAlignment="1">
      <alignment horizontal="center"/>
    </xf>
    <xf numFmtId="0" fontId="4" fillId="0" borderId="24" xfId="1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4" fillId="0" borderId="23" xfId="1" applyFont="1" applyBorder="1" applyAlignment="1">
      <alignment horizontal="center"/>
    </xf>
    <xf numFmtId="0" fontId="4" fillId="0" borderId="20" xfId="1" applyFont="1" applyBorder="1" applyAlignment="1">
      <alignment horizontal="center"/>
    </xf>
    <xf numFmtId="0" fontId="12" fillId="0" borderId="18" xfId="1" applyFont="1" applyBorder="1" applyAlignment="1">
      <alignment horizontal="center" vertical="center"/>
    </xf>
    <xf numFmtId="0" fontId="44" fillId="0" borderId="24" xfId="1" applyFont="1" applyBorder="1" applyAlignment="1">
      <alignment horizontal="center"/>
    </xf>
    <xf numFmtId="0" fontId="4" fillId="0" borderId="40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4" fillId="0" borderId="39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12" fillId="0" borderId="9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0" borderId="39" xfId="1" applyFont="1" applyBorder="1" applyAlignment="1">
      <alignment horizontal="center" vertical="center"/>
    </xf>
    <xf numFmtId="0" fontId="10" fillId="0" borderId="40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39" xfId="1" applyFont="1" applyBorder="1" applyAlignment="1">
      <alignment horizontal="center" vertical="center"/>
    </xf>
    <xf numFmtId="0" fontId="44" fillId="0" borderId="40" xfId="1" applyFont="1" applyBorder="1" applyAlignment="1">
      <alignment horizontal="center"/>
    </xf>
    <xf numFmtId="0" fontId="12" fillId="5" borderId="37" xfId="1" applyFont="1" applyFill="1" applyBorder="1" applyAlignment="1">
      <alignment horizontal="center" vertical="center"/>
    </xf>
    <xf numFmtId="0" fontId="12" fillId="5" borderId="35" xfId="1" applyFont="1" applyFill="1" applyBorder="1" applyAlignment="1">
      <alignment horizontal="center" vertical="center"/>
    </xf>
    <xf numFmtId="0" fontId="12" fillId="5" borderId="36" xfId="1" applyFont="1" applyFill="1" applyBorder="1" applyAlignment="1">
      <alignment horizontal="center" vertical="center"/>
    </xf>
    <xf numFmtId="0" fontId="12" fillId="5" borderId="38" xfId="1" applyFont="1" applyFill="1" applyBorder="1" applyAlignment="1">
      <alignment horizontal="center" vertical="center"/>
    </xf>
    <xf numFmtId="0" fontId="12" fillId="5" borderId="34" xfId="1" applyFont="1" applyFill="1" applyBorder="1" applyAlignment="1">
      <alignment horizontal="center" vertical="center"/>
    </xf>
    <xf numFmtId="0" fontId="12" fillId="5" borderId="24" xfId="1" applyFont="1" applyFill="1" applyBorder="1" applyAlignment="1">
      <alignment horizontal="center" vertical="center"/>
    </xf>
    <xf numFmtId="0" fontId="12" fillId="5" borderId="19" xfId="1" applyFont="1" applyFill="1" applyBorder="1" applyAlignment="1">
      <alignment horizontal="center" vertical="center"/>
    </xf>
    <xf numFmtId="0" fontId="12" fillId="5" borderId="23" xfId="1" applyFont="1" applyFill="1" applyBorder="1" applyAlignment="1">
      <alignment horizontal="center" vertical="center"/>
    </xf>
    <xf numFmtId="0" fontId="12" fillId="5" borderId="20" xfId="1" applyFont="1" applyFill="1" applyBorder="1" applyAlignment="1">
      <alignment horizontal="center" vertical="center"/>
    </xf>
    <xf numFmtId="0" fontId="32" fillId="5" borderId="18" xfId="1" applyFont="1" applyFill="1" applyBorder="1" applyAlignment="1">
      <alignment horizontal="center" vertical="center"/>
    </xf>
    <xf numFmtId="0" fontId="32" fillId="5" borderId="19" xfId="1" applyFont="1" applyFill="1" applyBorder="1" applyAlignment="1">
      <alignment horizontal="center" vertical="center"/>
    </xf>
    <xf numFmtId="0" fontId="32" fillId="5" borderId="23" xfId="1" applyFont="1" applyFill="1" applyBorder="1" applyAlignment="1">
      <alignment horizontal="center" vertical="center"/>
    </xf>
    <xf numFmtId="0" fontId="25" fillId="5" borderId="18" xfId="1" applyFont="1" applyFill="1" applyBorder="1" applyAlignment="1">
      <alignment horizontal="center" vertical="center" shrinkToFit="1"/>
    </xf>
    <xf numFmtId="0" fontId="25" fillId="5" borderId="19" xfId="1" applyFont="1" applyFill="1" applyBorder="1" applyAlignment="1">
      <alignment horizontal="center" vertical="center" shrinkToFit="1"/>
    </xf>
    <xf numFmtId="0" fontId="25" fillId="5" borderId="20" xfId="1" applyFont="1" applyFill="1" applyBorder="1" applyAlignment="1">
      <alignment horizontal="center" vertical="center" shrinkToFit="1"/>
    </xf>
    <xf numFmtId="0" fontId="96" fillId="5" borderId="21" xfId="1" applyFont="1" applyFill="1" applyBorder="1" applyAlignment="1">
      <alignment horizontal="center" vertical="center" wrapText="1" shrinkToFit="1"/>
    </xf>
    <xf numFmtId="0" fontId="96" fillId="5" borderId="0" xfId="1" applyFont="1" applyFill="1" applyBorder="1" applyAlignment="1">
      <alignment horizontal="center" vertical="center" wrapText="1" shrinkToFit="1"/>
    </xf>
    <xf numFmtId="0" fontId="96" fillId="5" borderId="22" xfId="1" applyFont="1" applyFill="1" applyBorder="1" applyAlignment="1">
      <alignment horizontal="center" vertical="center" wrapText="1" shrinkToFit="1"/>
    </xf>
    <xf numFmtId="0" fontId="96" fillId="5" borderId="30" xfId="1" applyFont="1" applyFill="1" applyBorder="1" applyAlignment="1">
      <alignment horizontal="center" vertical="center" wrapText="1" shrinkToFit="1"/>
    </xf>
    <xf numFmtId="0" fontId="96" fillId="5" borderId="31" xfId="1" applyFont="1" applyFill="1" applyBorder="1" applyAlignment="1">
      <alignment horizontal="center" vertical="center" wrapText="1" shrinkToFit="1"/>
    </xf>
    <xf numFmtId="0" fontId="96" fillId="5" borderId="32" xfId="1" applyFont="1" applyFill="1" applyBorder="1" applyAlignment="1">
      <alignment horizontal="center" vertical="center" wrapText="1" shrinkToFit="1"/>
    </xf>
    <xf numFmtId="165" fontId="30" fillId="5" borderId="15" xfId="2" applyNumberFormat="1" applyFont="1" applyFill="1" applyBorder="1" applyAlignment="1">
      <alignment horizontal="center" vertical="center" shrinkToFit="1"/>
    </xf>
    <xf numFmtId="165" fontId="30" fillId="5" borderId="16" xfId="2" applyNumberFormat="1" applyFont="1" applyFill="1" applyBorder="1" applyAlignment="1">
      <alignment horizontal="center" vertical="center" shrinkToFit="1"/>
    </xf>
    <xf numFmtId="165" fontId="30" fillId="5" borderId="17" xfId="2" applyNumberFormat="1" applyFont="1" applyFill="1" applyBorder="1" applyAlignment="1">
      <alignment horizontal="center" vertical="center" shrinkToFit="1"/>
    </xf>
    <xf numFmtId="0" fontId="33" fillId="7" borderId="25" xfId="1" applyFont="1" applyFill="1" applyBorder="1" applyAlignment="1">
      <alignment horizontal="center" vertical="center"/>
    </xf>
    <xf numFmtId="0" fontId="33" fillId="7" borderId="26" xfId="1" applyFont="1" applyFill="1" applyBorder="1" applyAlignment="1">
      <alignment horizontal="center" vertical="center"/>
    </xf>
    <xf numFmtId="0" fontId="33" fillId="7" borderId="7" xfId="1" applyFont="1" applyFill="1" applyBorder="1" applyAlignment="1">
      <alignment horizontal="center" vertical="center"/>
    </xf>
    <xf numFmtId="0" fontId="33" fillId="7" borderId="6" xfId="1" applyFont="1" applyFill="1" applyBorder="1" applyAlignment="1">
      <alignment horizontal="center" vertical="center"/>
    </xf>
    <xf numFmtId="0" fontId="10" fillId="5" borderId="27" xfId="1" applyFont="1" applyFill="1" applyBorder="1" applyAlignment="1">
      <alignment horizontal="center" vertical="center"/>
    </xf>
    <xf numFmtId="0" fontId="10" fillId="5" borderId="28" xfId="1" applyFont="1" applyFill="1" applyBorder="1" applyAlignment="1">
      <alignment horizontal="center" vertical="center"/>
    </xf>
    <xf numFmtId="0" fontId="10" fillId="5" borderId="29" xfId="1" applyFont="1" applyFill="1" applyBorder="1" applyAlignment="1">
      <alignment horizontal="center" vertical="center"/>
    </xf>
    <xf numFmtId="0" fontId="17" fillId="5" borderId="0" xfId="2" applyFont="1" applyFill="1" applyBorder="1" applyAlignment="1">
      <alignment horizontal="center" vertical="center" wrapText="1"/>
    </xf>
    <xf numFmtId="0" fontId="97" fillId="5" borderId="6" xfId="1" applyFont="1" applyFill="1" applyBorder="1" applyAlignment="1">
      <alignment horizontal="center" vertical="center" shrinkToFit="1"/>
    </xf>
    <xf numFmtId="0" fontId="97" fillId="5" borderId="2" xfId="1" applyFont="1" applyFill="1" applyBorder="1" applyAlignment="1">
      <alignment horizontal="center" vertical="center" shrinkToFit="1"/>
    </xf>
    <xf numFmtId="0" fontId="97" fillId="5" borderId="7" xfId="1" applyFont="1" applyFill="1" applyBorder="1" applyAlignment="1">
      <alignment horizontal="center" vertical="center" shrinkToFit="1"/>
    </xf>
    <xf numFmtId="0" fontId="5" fillId="2" borderId="0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83" fillId="4" borderId="3" xfId="1" applyFont="1" applyFill="1" applyBorder="1" applyAlignment="1">
      <alignment horizontal="center" vertical="center"/>
    </xf>
    <xf numFmtId="0" fontId="83" fillId="4" borderId="0" xfId="1" applyFont="1" applyFill="1" applyBorder="1" applyAlignment="1">
      <alignment horizontal="center" vertical="center"/>
    </xf>
    <xf numFmtId="0" fontId="84" fillId="5" borderId="0" xfId="2" applyFont="1" applyFill="1" applyAlignment="1">
      <alignment horizontal="center" vertical="center"/>
    </xf>
    <xf numFmtId="0" fontId="30" fillId="5" borderId="0" xfId="2" applyFont="1" applyFill="1" applyAlignment="1">
      <alignment horizontal="center" vertical="center" wrapText="1"/>
    </xf>
    <xf numFmtId="0" fontId="15" fillId="5" borderId="0" xfId="2" applyFont="1" applyFill="1" applyBorder="1" applyAlignment="1">
      <alignment horizontal="center" vertical="center" wrapText="1"/>
    </xf>
    <xf numFmtId="0" fontId="18" fillId="5" borderId="0" xfId="1" applyFont="1" applyFill="1" applyBorder="1" applyAlignment="1">
      <alignment horizontal="center" vertical="center" shrinkToFit="1"/>
    </xf>
    <xf numFmtId="0" fontId="19" fillId="5" borderId="0" xfId="1" applyFont="1" applyFill="1" applyBorder="1" applyAlignment="1">
      <alignment horizontal="center" vertical="center" shrinkToFit="1"/>
    </xf>
    <xf numFmtId="0" fontId="20" fillId="5" borderId="0" xfId="1" applyFont="1" applyFill="1" applyBorder="1" applyAlignment="1">
      <alignment horizontal="center"/>
    </xf>
    <xf numFmtId="0" fontId="4" fillId="5" borderId="8" xfId="1" applyFont="1" applyFill="1" applyBorder="1" applyAlignment="1">
      <alignment horizontal="center" vertical="top"/>
    </xf>
    <xf numFmtId="0" fontId="85" fillId="5" borderId="0" xfId="1" applyFont="1" applyFill="1" applyBorder="1" applyAlignment="1">
      <alignment horizontal="center" vertical="center" shrinkToFit="1"/>
    </xf>
    <xf numFmtId="0" fontId="98" fillId="5" borderId="6" xfId="1" applyFont="1" applyFill="1" applyBorder="1" applyAlignment="1">
      <alignment horizontal="center" vertical="center" shrinkToFit="1"/>
    </xf>
    <xf numFmtId="0" fontId="98" fillId="5" borderId="2" xfId="1" applyFont="1" applyFill="1" applyBorder="1" applyAlignment="1">
      <alignment horizontal="center" vertical="center" shrinkToFit="1"/>
    </xf>
    <xf numFmtId="0" fontId="98" fillId="5" borderId="7" xfId="1" applyFont="1" applyFill="1" applyBorder="1" applyAlignment="1">
      <alignment horizontal="center" vertical="center" shrinkToFit="1"/>
    </xf>
    <xf numFmtId="0" fontId="10" fillId="0" borderId="40" xfId="1" applyFont="1" applyBorder="1" applyAlignment="1">
      <alignment horizontal="left" vertical="center"/>
    </xf>
    <xf numFmtId="0" fontId="10" fillId="0" borderId="10" xfId="1" applyFont="1" applyBorder="1" applyAlignment="1">
      <alignment horizontal="left" vertical="center"/>
    </xf>
    <xf numFmtId="0" fontId="10" fillId="0" borderId="39" xfId="1" applyFont="1" applyBorder="1" applyAlignment="1">
      <alignment horizontal="left" vertical="center"/>
    </xf>
    <xf numFmtId="0" fontId="10" fillId="0" borderId="24" xfId="1" applyFont="1" applyBorder="1" applyAlignment="1">
      <alignment horizontal="left" vertical="center"/>
    </xf>
    <xf numFmtId="0" fontId="10" fillId="0" borderId="19" xfId="1" applyFont="1" applyBorder="1" applyAlignment="1">
      <alignment horizontal="left" vertical="center"/>
    </xf>
    <xf numFmtId="0" fontId="10" fillId="0" borderId="23" xfId="1" applyFont="1" applyBorder="1" applyAlignment="1">
      <alignment horizontal="left" vertical="center"/>
    </xf>
    <xf numFmtId="0" fontId="4" fillId="0" borderId="25" xfId="1" applyFont="1" applyBorder="1" applyAlignment="1">
      <alignment horizontal="center"/>
    </xf>
    <xf numFmtId="0" fontId="4" fillId="0" borderId="8" xfId="1" applyFont="1" applyBorder="1" applyAlignment="1">
      <alignment horizontal="center"/>
    </xf>
    <xf numFmtId="0" fontId="4" fillId="0" borderId="26" xfId="1" applyFont="1" applyBorder="1" applyAlignment="1">
      <alignment horizontal="center"/>
    </xf>
    <xf numFmtId="0" fontId="44" fillId="0" borderId="88" xfId="1" applyFont="1" applyBorder="1" applyAlignment="1">
      <alignment horizontal="center"/>
    </xf>
    <xf numFmtId="0" fontId="4" fillId="0" borderId="13" xfId="1" applyFont="1" applyBorder="1" applyAlignment="1">
      <alignment horizontal="center"/>
    </xf>
    <xf numFmtId="0" fontId="4" fillId="0" borderId="89" xfId="1" applyFont="1" applyBorder="1" applyAlignment="1">
      <alignment horizontal="center"/>
    </xf>
  </cellXfs>
  <cellStyles count="7">
    <cellStyle name="Обычный" xfId="0" builtinId="0"/>
    <cellStyle name="Обычный 2" xfId="5"/>
    <cellStyle name="Обычный 2 3" xfId="4"/>
    <cellStyle name="Обычный 3" xfId="6"/>
    <cellStyle name="Обычный_Книга1" xfId="2"/>
    <cellStyle name="Обычный_Команды 1997" xfId="3"/>
    <cellStyle name="Обычный_Команды_Команды1" xfId="1"/>
  </cellStyles>
  <dxfs count="8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77;&#1075;&#1080;&#1089;&#1090;&#1088;&#1072;&#1094;&#1080;&#1086;&#1085;&#1085;&#1099;&#1077;%20&#1089;&#1087;&#1080;&#1089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сшая Лига"/>
      <sheetName val="Первая Лига"/>
      <sheetName val="Вторая Лига"/>
      <sheetName val="rating"/>
    </sheetNames>
    <sheetDataSet>
      <sheetData sheetId="0">
        <row r="1">
          <cell r="A1" t="str">
            <v>МИНИСТЕРСТВО СПОРТА РЕСПУБЛИКИ КРЫМ
ФЕДЕРАЦИЯ НАСТОЛЬНОГО ТЕННИСА РЕСПУБЛИКИ КРЫМ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ЧЕМПИОНАТ РЕСПУБЛИКИ КРЫМ сезона 2023 г.
по настольному теннису среди команд ВЫСШЕЙ ЛИГИ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Список команд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№</v>
          </cell>
          <cell r="B4" t="str">
            <v>Команда</v>
          </cell>
          <cell r="C4" t="str">
            <v>№</v>
          </cell>
          <cell r="D4" t="str">
            <v>№№</v>
          </cell>
          <cell r="E4" t="str">
            <v>id</v>
          </cell>
          <cell r="F4" t="str">
            <v>ФИО</v>
          </cell>
          <cell r="G4" t="str">
            <v>Год рождения</v>
          </cell>
          <cell r="H4" t="str">
            <v>Город</v>
          </cell>
          <cell r="I4" t="str">
            <v>Рейтинг</v>
          </cell>
          <cell r="J4" t="str">
            <v>Рейтинг команды</v>
          </cell>
          <cell r="K4" t="str">
            <v>Сумма очков</v>
          </cell>
          <cell r="L4" t="str">
            <v>Очки за утр</v>
          </cell>
          <cell r="M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2</v>
          </cell>
        </row>
        <row r="6">
          <cell r="A6">
            <v>1</v>
          </cell>
          <cell r="B6" t="str">
            <v>"РУСИЧИ" г.Симферополь</v>
          </cell>
          <cell r="C6">
            <v>1</v>
          </cell>
          <cell r="D6">
            <v>11</v>
          </cell>
          <cell r="E6" t="str">
            <v>135c967</v>
          </cell>
          <cell r="F6" t="str">
            <v xml:space="preserve"> Кривошеев Вячеслав Александрович</v>
          </cell>
          <cell r="G6" t="str">
            <v>1987</v>
          </cell>
          <cell r="H6" t="str">
            <v xml:space="preserve"> Уфа</v>
          </cell>
          <cell r="I6">
            <v>1604.4</v>
          </cell>
          <cell r="J6">
            <v>4504.76</v>
          </cell>
          <cell r="K6">
            <v>0</v>
          </cell>
          <cell r="L6">
            <v>0</v>
          </cell>
          <cell r="M6">
            <v>0</v>
          </cell>
        </row>
        <row r="7">
          <cell r="A7">
            <v>0</v>
          </cell>
          <cell r="B7">
            <v>0</v>
          </cell>
          <cell r="C7">
            <v>2</v>
          </cell>
          <cell r="D7">
            <v>12</v>
          </cell>
          <cell r="E7" t="str">
            <v>1d26d7f</v>
          </cell>
          <cell r="F7" t="str">
            <v xml:space="preserve"> Панченко Артем Иванович</v>
          </cell>
          <cell r="G7" t="str">
            <v>1986</v>
          </cell>
          <cell r="H7" t="str">
            <v xml:space="preserve"> Москва</v>
          </cell>
          <cell r="I7">
            <v>1466.42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>
            <v>0</v>
          </cell>
          <cell r="B8">
            <v>0</v>
          </cell>
          <cell r="C8">
            <v>3</v>
          </cell>
          <cell r="D8">
            <v>13</v>
          </cell>
          <cell r="E8" t="str">
            <v>6004b13</v>
          </cell>
          <cell r="F8" t="str">
            <v xml:space="preserve"> Исаков Илья Павлович</v>
          </cell>
          <cell r="G8" t="str">
            <v>1999</v>
          </cell>
          <cell r="H8" t="str">
            <v xml:space="preserve"> Верхняя Пышма</v>
          </cell>
          <cell r="I8">
            <v>1433.94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>
            <v>0</v>
          </cell>
          <cell r="B9">
            <v>0</v>
          </cell>
          <cell r="C9">
            <v>4</v>
          </cell>
          <cell r="D9">
            <v>14</v>
          </cell>
          <cell r="E9" t="str">
            <v>672596f</v>
          </cell>
          <cell r="F9" t="str">
            <v xml:space="preserve"> Масовер Андрей Ромазанович</v>
          </cell>
          <cell r="G9" t="str">
            <v>2003</v>
          </cell>
          <cell r="H9" t="str">
            <v xml:space="preserve"> Бийск</v>
          </cell>
          <cell r="I9">
            <v>955.85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>
            <v>0</v>
          </cell>
          <cell r="B10">
            <v>0</v>
          </cell>
          <cell r="C10">
            <v>5</v>
          </cell>
          <cell r="D10">
            <v>15</v>
          </cell>
          <cell r="E10" t="str">
            <v>5f32000</v>
          </cell>
          <cell r="F10" t="str">
            <v xml:space="preserve"> Губанов Никита Сергеевич</v>
          </cell>
          <cell r="G10" t="str">
            <v>2002</v>
          </cell>
          <cell r="H10" t="str">
            <v xml:space="preserve"> Симферополь</v>
          </cell>
          <cell r="I10">
            <v>811.26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>
            <v>0</v>
          </cell>
          <cell r="B11">
            <v>0</v>
          </cell>
          <cell r="C11">
            <v>6</v>
          </cell>
          <cell r="D11">
            <v>16</v>
          </cell>
          <cell r="E11" t="str">
            <v>3c7c667</v>
          </cell>
          <cell r="F11" t="str">
            <v xml:space="preserve"> Зайцев Игорь Владимирович</v>
          </cell>
          <cell r="G11" t="str">
            <v>1996</v>
          </cell>
          <cell r="H11" t="str">
            <v xml:space="preserve"> Ялта</v>
          </cell>
          <cell r="I11">
            <v>698.3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>
            <v>0</v>
          </cell>
          <cell r="B12">
            <v>0</v>
          </cell>
          <cell r="C12">
            <v>7</v>
          </cell>
          <cell r="D12">
            <v>17</v>
          </cell>
          <cell r="E12" t="str">
            <v>46ab2b8</v>
          </cell>
          <cell r="F12" t="str">
            <v xml:space="preserve"> Щепетнев Дмитрий Владимирович</v>
          </cell>
          <cell r="G12" t="str">
            <v>2002</v>
          </cell>
          <cell r="H12" t="str">
            <v xml:space="preserve"> Екатеринбург</v>
          </cell>
          <cell r="I12">
            <v>666.18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>
            <v>0</v>
          </cell>
          <cell r="B13">
            <v>0</v>
          </cell>
          <cell r="C13">
            <v>8</v>
          </cell>
          <cell r="D13">
            <v>18</v>
          </cell>
          <cell r="E13" t="str">
            <v>2240902</v>
          </cell>
          <cell r="F13" t="str">
            <v xml:space="preserve"> Панков Леонид Александрович</v>
          </cell>
          <cell r="G13" t="str">
            <v>1971</v>
          </cell>
          <cell r="H13" t="str">
            <v xml:space="preserve"> Симферополь</v>
          </cell>
          <cell r="I13">
            <v>533.19000000000005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>
            <v>0</v>
          </cell>
          <cell r="B14">
            <v>0</v>
          </cell>
          <cell r="C14" t="str">
            <v>Тренер: Панков Л.А.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>
            <v>2</v>
          </cell>
          <cell r="B15" t="str">
            <v>«Аэропорт - спортшкола №3» г.Симферополь</v>
          </cell>
          <cell r="C15">
            <v>1</v>
          </cell>
          <cell r="D15">
            <v>21</v>
          </cell>
          <cell r="E15" t="str">
            <v>71b29e5</v>
          </cell>
          <cell r="F15" t="str">
            <v xml:space="preserve"> Павлина Сергей Станиславович</v>
          </cell>
          <cell r="G15" t="str">
            <v>1981</v>
          </cell>
          <cell r="H15" t="str">
            <v xml:space="preserve"> Донецк</v>
          </cell>
          <cell r="I15">
            <v>1173.77</v>
          </cell>
          <cell r="J15">
            <v>2704.21</v>
          </cell>
          <cell r="K15">
            <v>0</v>
          </cell>
          <cell r="L15">
            <v>0</v>
          </cell>
          <cell r="M15">
            <v>0</v>
          </cell>
        </row>
        <row r="16">
          <cell r="A16">
            <v>0</v>
          </cell>
          <cell r="B16">
            <v>0</v>
          </cell>
          <cell r="C16">
            <v>2</v>
          </cell>
          <cell r="D16">
            <v>22</v>
          </cell>
          <cell r="E16" t="str">
            <v>1d9bc4d</v>
          </cell>
          <cell r="F16" t="str">
            <v xml:space="preserve"> Банников Юрий Владимирович</v>
          </cell>
          <cell r="G16" t="str">
            <v>1959</v>
          </cell>
          <cell r="H16" t="str">
            <v xml:space="preserve"> Симферополь</v>
          </cell>
          <cell r="I16">
            <v>774.86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>
            <v>0</v>
          </cell>
          <cell r="B17">
            <v>0</v>
          </cell>
          <cell r="C17">
            <v>3</v>
          </cell>
          <cell r="D17">
            <v>23</v>
          </cell>
          <cell r="E17" t="str">
            <v>57a66fd</v>
          </cell>
          <cell r="F17" t="str">
            <v xml:space="preserve"> Лодыгин Владимир Вадимович</v>
          </cell>
          <cell r="G17" t="str">
            <v>1998</v>
          </cell>
          <cell r="H17" t="str">
            <v xml:space="preserve"> Симферополь</v>
          </cell>
          <cell r="I17">
            <v>755.58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>
            <v>0</v>
          </cell>
          <cell r="B18">
            <v>0</v>
          </cell>
          <cell r="C18">
            <v>4</v>
          </cell>
          <cell r="D18">
            <v>24</v>
          </cell>
          <cell r="E18" t="str">
            <v>23056a2</v>
          </cell>
          <cell r="F18" t="str">
            <v xml:space="preserve"> Соловей Юрий Анатольевич</v>
          </cell>
          <cell r="G18" t="str">
            <v>1982</v>
          </cell>
          <cell r="H18" t="str">
            <v xml:space="preserve"> Симферополь</v>
          </cell>
          <cell r="I18">
            <v>561.58000000000004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>
            <v>0</v>
          </cell>
          <cell r="B19">
            <v>0</v>
          </cell>
          <cell r="C19">
            <v>5</v>
          </cell>
          <cell r="D19">
            <v>25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>
            <v>0</v>
          </cell>
          <cell r="B20">
            <v>0</v>
          </cell>
          <cell r="C20">
            <v>6</v>
          </cell>
          <cell r="D20">
            <v>26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>
            <v>0</v>
          </cell>
          <cell r="B21">
            <v>0</v>
          </cell>
          <cell r="C21">
            <v>7</v>
          </cell>
          <cell r="D21">
            <v>27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>
            <v>0</v>
          </cell>
          <cell r="B22">
            <v>0</v>
          </cell>
          <cell r="C22">
            <v>8</v>
          </cell>
          <cell r="D22">
            <v>28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>
            <v>0</v>
          </cell>
          <cell r="B23">
            <v>0</v>
          </cell>
          <cell r="C23" t="str">
            <v>Тренер: Банников Ю.В.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>
            <v>3</v>
          </cell>
          <cell r="B24" t="str">
            <v>«Интер»  г.Евпатория</v>
          </cell>
          <cell r="C24">
            <v>1</v>
          </cell>
          <cell r="D24">
            <v>31</v>
          </cell>
          <cell r="E24" t="str">
            <v>2354588</v>
          </cell>
          <cell r="F24" t="str">
            <v xml:space="preserve"> Сорбало Владислав Федорович</v>
          </cell>
          <cell r="G24" t="str">
            <v>1973</v>
          </cell>
          <cell r="H24" t="str">
            <v xml:space="preserve"> Евпатория</v>
          </cell>
          <cell r="I24">
            <v>1065.45</v>
          </cell>
          <cell r="J24">
            <v>2696.92</v>
          </cell>
          <cell r="K24">
            <v>0</v>
          </cell>
          <cell r="L24">
            <v>0</v>
          </cell>
          <cell r="M24">
            <v>0</v>
          </cell>
        </row>
        <row r="25">
          <cell r="A25">
            <v>0</v>
          </cell>
          <cell r="B25">
            <v>0</v>
          </cell>
          <cell r="C25">
            <v>2</v>
          </cell>
          <cell r="D25">
            <v>32</v>
          </cell>
          <cell r="E25" t="str">
            <v>5724248</v>
          </cell>
          <cell r="F25" t="str">
            <v xml:space="preserve"> Каулик Алексей Сергеевич</v>
          </cell>
          <cell r="G25" t="str">
            <v>1980</v>
          </cell>
          <cell r="H25" t="str">
            <v xml:space="preserve"> Ялта</v>
          </cell>
          <cell r="I25">
            <v>961.53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0</v>
          </cell>
          <cell r="B26">
            <v>0</v>
          </cell>
          <cell r="C26">
            <v>3</v>
          </cell>
          <cell r="D26">
            <v>33</v>
          </cell>
          <cell r="E26" t="str">
            <v>20d2e2f</v>
          </cell>
          <cell r="F26" t="str">
            <v xml:space="preserve"> Скрипин Василий Иванович</v>
          </cell>
          <cell r="G26" t="str">
            <v>1977</v>
          </cell>
          <cell r="H26" t="str">
            <v xml:space="preserve"> Евпатория</v>
          </cell>
          <cell r="I26">
            <v>669.94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>
            <v>0</v>
          </cell>
          <cell r="B27">
            <v>0</v>
          </cell>
          <cell r="C27">
            <v>4</v>
          </cell>
          <cell r="D27">
            <v>34</v>
          </cell>
          <cell r="E27" t="str">
            <v>2a5bbc4</v>
          </cell>
          <cell r="F27" t="str">
            <v xml:space="preserve"> Сыч Станислав Викторович</v>
          </cell>
          <cell r="G27" t="str">
            <v>1971</v>
          </cell>
          <cell r="H27" t="str">
            <v xml:space="preserve"> Евпатория</v>
          </cell>
          <cell r="I27">
            <v>540.39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>
            <v>0</v>
          </cell>
          <cell r="B28">
            <v>0</v>
          </cell>
          <cell r="C28">
            <v>5</v>
          </cell>
          <cell r="D28">
            <v>35</v>
          </cell>
          <cell r="E28" t="str">
            <v>4f49c2c</v>
          </cell>
          <cell r="F28" t="str">
            <v xml:space="preserve"> Марусич Дмитрий Олегович</v>
          </cell>
          <cell r="G28" t="str">
            <v>1980</v>
          </cell>
          <cell r="H28" t="str">
            <v xml:space="preserve"> Евпатория</v>
          </cell>
          <cell r="I28">
            <v>460.18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>
            <v>0</v>
          </cell>
          <cell r="B29">
            <v>0</v>
          </cell>
          <cell r="C29">
            <v>6</v>
          </cell>
          <cell r="D29">
            <v>36</v>
          </cell>
          <cell r="E29" t="str">
            <v>717fc62</v>
          </cell>
          <cell r="F29" t="str">
            <v xml:space="preserve"> Кафиев Артур Рафаилович</v>
          </cell>
          <cell r="G29" t="str">
            <v>1964</v>
          </cell>
          <cell r="H29" t="str">
            <v xml:space="preserve"> Евпатория</v>
          </cell>
          <cell r="I29">
            <v>359.4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>
            <v>0</v>
          </cell>
          <cell r="B30">
            <v>0</v>
          </cell>
          <cell r="C30">
            <v>7</v>
          </cell>
          <cell r="D30">
            <v>37</v>
          </cell>
          <cell r="E30" t="str">
            <v>51ae6b9</v>
          </cell>
          <cell r="F30" t="str">
            <v xml:space="preserve"> Калинин Илья Валерьевич</v>
          </cell>
          <cell r="G30" t="str">
            <v>1981</v>
          </cell>
          <cell r="H30" t="str">
            <v xml:space="preserve"> Евпатория</v>
          </cell>
          <cell r="I30">
            <v>352.42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>
            <v>0</v>
          </cell>
          <cell r="B31">
            <v>0</v>
          </cell>
          <cell r="C31">
            <v>8</v>
          </cell>
          <cell r="D31">
            <v>38</v>
          </cell>
          <cell r="E31" t="str">
            <v>6e1f146</v>
          </cell>
          <cell r="F31" t="str">
            <v xml:space="preserve"> Скрипин Иван Васильевич</v>
          </cell>
          <cell r="G31" t="str">
            <v>1998</v>
          </cell>
          <cell r="H31" t="str">
            <v xml:space="preserve"> Евпатория</v>
          </cell>
          <cell r="I31">
            <v>50.61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>
            <v>0</v>
          </cell>
          <cell r="B32">
            <v>0</v>
          </cell>
          <cell r="C32" t="str">
            <v>Тренер: Хилик К.А., Скрипин В.И.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>
            <v>4</v>
          </cell>
          <cell r="B33" t="str">
            <v>«Дрим Тим» г.Симферополь</v>
          </cell>
          <cell r="C33">
            <v>1</v>
          </cell>
          <cell r="D33">
            <v>41</v>
          </cell>
          <cell r="E33" t="str">
            <v>2eb0a17</v>
          </cell>
          <cell r="F33" t="str">
            <v xml:space="preserve"> Гаврилов Денис Михайлович</v>
          </cell>
          <cell r="G33" t="str">
            <v>1977</v>
          </cell>
          <cell r="H33" t="str">
            <v xml:space="preserve"> Самара</v>
          </cell>
          <cell r="I33">
            <v>1344.22</v>
          </cell>
          <cell r="J33">
            <v>2955.53</v>
          </cell>
          <cell r="K33">
            <v>0</v>
          </cell>
          <cell r="L33">
            <v>0</v>
          </cell>
          <cell r="M33">
            <v>0</v>
          </cell>
        </row>
        <row r="34">
          <cell r="A34">
            <v>0</v>
          </cell>
          <cell r="B34">
            <v>0</v>
          </cell>
          <cell r="C34">
            <v>2</v>
          </cell>
          <cell r="D34">
            <v>42</v>
          </cell>
          <cell r="E34" t="str">
            <v>1a2ca18</v>
          </cell>
          <cell r="F34" t="str">
            <v xml:space="preserve"> Курило Игорь Сергеевич</v>
          </cell>
          <cell r="G34" t="str">
            <v>1995</v>
          </cell>
          <cell r="H34" t="str">
            <v xml:space="preserve"> Ялта</v>
          </cell>
          <cell r="I34">
            <v>837.22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>
            <v>0</v>
          </cell>
          <cell r="B35">
            <v>0</v>
          </cell>
          <cell r="C35">
            <v>3</v>
          </cell>
          <cell r="D35">
            <v>43</v>
          </cell>
          <cell r="E35" t="str">
            <v>43e0389</v>
          </cell>
          <cell r="F35" t="str">
            <v xml:space="preserve"> Длугоканский Андрей Александрович</v>
          </cell>
          <cell r="G35" t="str">
            <v>2000</v>
          </cell>
          <cell r="H35" t="str">
            <v xml:space="preserve"> Ялта</v>
          </cell>
          <cell r="I35">
            <v>774.09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>
            <v>0</v>
          </cell>
          <cell r="B36">
            <v>0</v>
          </cell>
          <cell r="C36">
            <v>4</v>
          </cell>
          <cell r="D36">
            <v>44</v>
          </cell>
          <cell r="E36" t="str">
            <v>701652c</v>
          </cell>
          <cell r="F36" t="str">
            <v xml:space="preserve"> Полтев Данил Сергеевич</v>
          </cell>
          <cell r="G36" t="str">
            <v>1998</v>
          </cell>
          <cell r="H36" t="str">
            <v xml:space="preserve"> Симферополь</v>
          </cell>
          <cell r="I36">
            <v>716.83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>
            <v>0</v>
          </cell>
          <cell r="B37">
            <v>0</v>
          </cell>
          <cell r="C37">
            <v>5</v>
          </cell>
          <cell r="D37">
            <v>45</v>
          </cell>
          <cell r="E37" t="str">
            <v>6ecd460</v>
          </cell>
          <cell r="F37" t="str">
            <v xml:space="preserve"> Ткаченко Владимир Михайлович</v>
          </cell>
          <cell r="G37" t="str">
            <v>1979</v>
          </cell>
          <cell r="H37" t="str">
            <v xml:space="preserve"> Симферополь</v>
          </cell>
          <cell r="I37">
            <v>715.35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>
            <v>0</v>
          </cell>
          <cell r="B38">
            <v>0</v>
          </cell>
          <cell r="C38">
            <v>6</v>
          </cell>
          <cell r="D38">
            <v>46</v>
          </cell>
          <cell r="E38" t="str">
            <v>3726ba3</v>
          </cell>
          <cell r="F38" t="str">
            <v xml:space="preserve"> Животов Дмитрий Викторович</v>
          </cell>
          <cell r="G38" t="str">
            <v>1985</v>
          </cell>
          <cell r="H38" t="str">
            <v xml:space="preserve"> Керчь</v>
          </cell>
          <cell r="I38">
            <v>694.41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>
            <v>0</v>
          </cell>
          <cell r="B39">
            <v>0</v>
          </cell>
          <cell r="C39">
            <v>7</v>
          </cell>
          <cell r="D39">
            <v>47</v>
          </cell>
          <cell r="E39" t="str">
            <v>2c90328</v>
          </cell>
          <cell r="F39" t="str">
            <v xml:space="preserve"> Скоробогатов Евгений Петрович</v>
          </cell>
          <cell r="G39" t="str">
            <v>1978</v>
          </cell>
          <cell r="H39" t="str">
            <v xml:space="preserve"> Симферополь</v>
          </cell>
          <cell r="I39">
            <v>518.16999999999996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>
            <v>0</v>
          </cell>
          <cell r="B40">
            <v>0</v>
          </cell>
          <cell r="C40">
            <v>8</v>
          </cell>
          <cell r="D40">
            <v>48</v>
          </cell>
          <cell r="E40" t="str">
            <v>209532e</v>
          </cell>
          <cell r="F40" t="str">
            <v xml:space="preserve"> Скоробогатов Александр Евгеньевич</v>
          </cell>
          <cell r="G40" t="str">
            <v>2014</v>
          </cell>
          <cell r="H40" t="str">
            <v xml:space="preserve"> Симферополь</v>
          </cell>
          <cell r="I40">
            <v>44.98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>
            <v>0</v>
          </cell>
          <cell r="B41">
            <v>0</v>
          </cell>
          <cell r="C41" t="str">
            <v>Тренер: Скоробогатов Е.П.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>
            <v>5</v>
          </cell>
          <cell r="B42" t="str">
            <v>«Рассвет» г.Симферополь</v>
          </cell>
          <cell r="C42">
            <v>1</v>
          </cell>
          <cell r="D42">
            <v>51</v>
          </cell>
          <cell r="E42" t="str">
            <v>75a68bd</v>
          </cell>
          <cell r="F42" t="str">
            <v xml:space="preserve"> Пикульский Никита Петрович</v>
          </cell>
          <cell r="G42" t="str">
            <v>1994</v>
          </cell>
          <cell r="H42" t="str">
            <v xml:space="preserve"> Джанкой</v>
          </cell>
          <cell r="I42">
            <v>744.89</v>
          </cell>
          <cell r="J42">
            <v>1952.81</v>
          </cell>
          <cell r="K42">
            <v>0</v>
          </cell>
          <cell r="L42">
            <v>0</v>
          </cell>
          <cell r="M42">
            <v>0</v>
          </cell>
        </row>
        <row r="43">
          <cell r="A43">
            <v>0</v>
          </cell>
          <cell r="B43">
            <v>0</v>
          </cell>
          <cell r="C43">
            <v>2</v>
          </cell>
          <cell r="D43">
            <v>52</v>
          </cell>
          <cell r="E43" t="str">
            <v>1330cd9</v>
          </cell>
          <cell r="F43" t="str">
            <v xml:space="preserve"> Третьяков Олег Маратович</v>
          </cell>
          <cell r="G43" t="str">
            <v>1970</v>
          </cell>
          <cell r="H43" t="str">
            <v xml:space="preserve"> Симферополь</v>
          </cell>
          <cell r="I43">
            <v>630.17999999999995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>
            <v>0</v>
          </cell>
          <cell r="B44">
            <v>0</v>
          </cell>
          <cell r="C44">
            <v>3</v>
          </cell>
          <cell r="D44">
            <v>53</v>
          </cell>
          <cell r="E44" t="str">
            <v>2343c48</v>
          </cell>
          <cell r="F44" t="str">
            <v xml:space="preserve"> Рехтин Андрей Павлович</v>
          </cell>
          <cell r="G44" t="str">
            <v>2004</v>
          </cell>
          <cell r="H44" t="str">
            <v xml:space="preserve"> Симферополь</v>
          </cell>
          <cell r="I44">
            <v>577.74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>
            <v>0</v>
          </cell>
          <cell r="B45">
            <v>0</v>
          </cell>
          <cell r="C45">
            <v>4</v>
          </cell>
          <cell r="D45">
            <v>54</v>
          </cell>
          <cell r="E45" t="str">
            <v>1bc0cd1</v>
          </cell>
          <cell r="F45" t="str">
            <v xml:space="preserve"> Алёшкин Дмитрий Сергеевич</v>
          </cell>
          <cell r="G45" t="str">
            <v>1993</v>
          </cell>
          <cell r="H45" t="str">
            <v xml:space="preserve"> Феодосия</v>
          </cell>
          <cell r="I45">
            <v>547.16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>
            <v>0</v>
          </cell>
          <cell r="B46">
            <v>0</v>
          </cell>
          <cell r="C46">
            <v>5</v>
          </cell>
          <cell r="D46">
            <v>55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>
            <v>0</v>
          </cell>
          <cell r="B47">
            <v>0</v>
          </cell>
          <cell r="C47">
            <v>6</v>
          </cell>
          <cell r="D47">
            <v>56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>
            <v>0</v>
          </cell>
          <cell r="B48">
            <v>0</v>
          </cell>
          <cell r="C48">
            <v>7</v>
          </cell>
          <cell r="D48">
            <v>57</v>
          </cell>
          <cell r="E48" t="str">
            <v>-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>
            <v>0</v>
          </cell>
          <cell r="B49">
            <v>0</v>
          </cell>
          <cell r="C49">
            <v>8</v>
          </cell>
          <cell r="D49">
            <v>58</v>
          </cell>
          <cell r="E49" t="str">
            <v>-</v>
          </cell>
          <cell r="F49" t="str">
            <v>-</v>
          </cell>
          <cell r="G49" t="str">
            <v>-</v>
          </cell>
          <cell r="H49" t="str">
            <v>-</v>
          </cell>
          <cell r="I49" t="str">
            <v>-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>
            <v>0</v>
          </cell>
          <cell r="B50">
            <v>0</v>
          </cell>
          <cell r="C50" t="str">
            <v>Тренер: Пикульский Н.С., Третьяков О.М.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>
            <v>6</v>
          </cell>
          <cell r="B51" t="str">
            <v>«АРСЕНАЛ-С» г.Севастополь</v>
          </cell>
          <cell r="C51">
            <v>1</v>
          </cell>
          <cell r="D51">
            <v>61</v>
          </cell>
          <cell r="E51" t="str">
            <v>4ff40b5</v>
          </cell>
          <cell r="F51" t="str">
            <v xml:space="preserve"> Перфильев Алексей Алексеевич</v>
          </cell>
          <cell r="G51" t="str">
            <v>2005</v>
          </cell>
          <cell r="H51" t="str">
            <v xml:space="preserve"> Барнаул</v>
          </cell>
          <cell r="I51">
            <v>1158.42</v>
          </cell>
          <cell r="J51">
            <v>2687.4300000000003</v>
          </cell>
          <cell r="K51">
            <v>0</v>
          </cell>
          <cell r="L51">
            <v>0</v>
          </cell>
          <cell r="M51">
            <v>0</v>
          </cell>
        </row>
        <row r="52">
          <cell r="A52">
            <v>0</v>
          </cell>
          <cell r="B52">
            <v>0</v>
          </cell>
          <cell r="C52">
            <v>2</v>
          </cell>
          <cell r="D52">
            <v>62</v>
          </cell>
          <cell r="E52" t="str">
            <v>7cbd423</v>
          </cell>
          <cell r="F52" t="str">
            <v xml:space="preserve"> Чернокнижников Александр Максимович</v>
          </cell>
          <cell r="G52" t="str">
            <v>2005</v>
          </cell>
          <cell r="H52" t="str">
            <v xml:space="preserve"> Липецк</v>
          </cell>
          <cell r="I52">
            <v>828.36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>
            <v>0</v>
          </cell>
          <cell r="B53">
            <v>0</v>
          </cell>
          <cell r="C53">
            <v>3</v>
          </cell>
          <cell r="D53">
            <v>63</v>
          </cell>
          <cell r="E53" t="str">
            <v>4962326</v>
          </cell>
          <cell r="F53" t="str">
            <v xml:space="preserve"> Шило Алексей Вячеславович</v>
          </cell>
          <cell r="G53" t="str">
            <v>1987</v>
          </cell>
          <cell r="H53" t="str">
            <v xml:space="preserve"> Симферополь</v>
          </cell>
          <cell r="I53">
            <v>700.65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>
            <v>0</v>
          </cell>
          <cell r="B54">
            <v>0</v>
          </cell>
          <cell r="C54">
            <v>4</v>
          </cell>
          <cell r="D54">
            <v>64</v>
          </cell>
          <cell r="E54" t="str">
            <v>6e1cdf6</v>
          </cell>
          <cell r="F54" t="str">
            <v xml:space="preserve"> Овчаренко Игорь Викторович</v>
          </cell>
          <cell r="G54" t="str">
            <v>1969</v>
          </cell>
          <cell r="H54" t="str">
            <v xml:space="preserve"> Симферополь</v>
          </cell>
          <cell r="I54">
            <v>664.39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>
            <v>0</v>
          </cell>
          <cell r="B55">
            <v>0</v>
          </cell>
          <cell r="C55">
            <v>5</v>
          </cell>
          <cell r="D55">
            <v>65</v>
          </cell>
          <cell r="E55" t="str">
            <v>35b0f8d</v>
          </cell>
          <cell r="F55" t="str">
            <v xml:space="preserve"> Королев Роман Сергеевич</v>
          </cell>
          <cell r="G55" t="str">
            <v>1992</v>
          </cell>
          <cell r="H55" t="str">
            <v xml:space="preserve"> Евпатория</v>
          </cell>
          <cell r="I55">
            <v>661.79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>
            <v>0</v>
          </cell>
          <cell r="B56">
            <v>0</v>
          </cell>
          <cell r="C56">
            <v>6</v>
          </cell>
          <cell r="D56">
            <v>66</v>
          </cell>
          <cell r="E56" t="str">
            <v>50c7b63</v>
          </cell>
          <cell r="F56" t="str">
            <v xml:space="preserve"> Горелкин Анатолий Николаевич</v>
          </cell>
          <cell r="G56" t="str">
            <v>1983</v>
          </cell>
          <cell r="H56" t="str">
            <v xml:space="preserve"> Симферополь</v>
          </cell>
          <cell r="I56">
            <v>620.25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>
            <v>0</v>
          </cell>
          <cell r="B57">
            <v>0</v>
          </cell>
          <cell r="C57">
            <v>7</v>
          </cell>
          <cell r="D57">
            <v>67</v>
          </cell>
          <cell r="E57" t="str">
            <v>6cbc5d5</v>
          </cell>
          <cell r="F57" t="str">
            <v xml:space="preserve"> Осипов Владимир Владимирович</v>
          </cell>
          <cell r="G57" t="str">
            <v>1988</v>
          </cell>
          <cell r="H57" t="str">
            <v xml:space="preserve"> Ялта</v>
          </cell>
          <cell r="I57">
            <v>592.82000000000005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>
            <v>0</v>
          </cell>
          <cell r="B58">
            <v>0</v>
          </cell>
          <cell r="C58">
            <v>8</v>
          </cell>
          <cell r="D58">
            <v>68</v>
          </cell>
          <cell r="E58" t="str">
            <v>77ada86</v>
          </cell>
          <cell r="F58" t="str">
            <v xml:space="preserve"> Митин Павел Вадимович</v>
          </cell>
          <cell r="G58" t="str">
            <v>1982</v>
          </cell>
          <cell r="H58" t="str">
            <v xml:space="preserve"> Симферополь</v>
          </cell>
          <cell r="I58">
            <v>528.39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>
            <v>0</v>
          </cell>
          <cell r="B59">
            <v>0</v>
          </cell>
          <cell r="C59" t="str">
            <v>Тренер: Свистунов А.Н.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>
            <v>7</v>
          </cell>
          <cell r="B60" t="str">
            <v>«Спортшкола» г. Ялта</v>
          </cell>
          <cell r="C60">
            <v>1</v>
          </cell>
          <cell r="D60">
            <v>71</v>
          </cell>
          <cell r="E60" t="str">
            <v>34898fa</v>
          </cell>
          <cell r="F60" t="str">
            <v xml:space="preserve"> Маслий Дмитрий Владимирович</v>
          </cell>
          <cell r="G60" t="str">
            <v>2000</v>
          </cell>
          <cell r="H60" t="str">
            <v xml:space="preserve"> Симферополь</v>
          </cell>
          <cell r="I60">
            <v>758.7</v>
          </cell>
          <cell r="J60">
            <v>2022.7200000000003</v>
          </cell>
          <cell r="K60">
            <v>0</v>
          </cell>
          <cell r="L60">
            <v>0</v>
          </cell>
          <cell r="M60">
            <v>0</v>
          </cell>
        </row>
        <row r="61">
          <cell r="A61">
            <v>0</v>
          </cell>
          <cell r="B61">
            <v>0</v>
          </cell>
          <cell r="C61">
            <v>2</v>
          </cell>
          <cell r="D61">
            <v>72</v>
          </cell>
          <cell r="E61" t="str">
            <v>6ab5ba0</v>
          </cell>
          <cell r="F61" t="str">
            <v xml:space="preserve"> Худенко Александр Сергеевич</v>
          </cell>
          <cell r="G61" t="str">
            <v>1992</v>
          </cell>
          <cell r="H61" t="str">
            <v xml:space="preserve"> Херсон</v>
          </cell>
          <cell r="I61">
            <v>649.44000000000005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>
            <v>0</v>
          </cell>
          <cell r="B62">
            <v>0</v>
          </cell>
          <cell r="C62">
            <v>3</v>
          </cell>
          <cell r="D62">
            <v>73</v>
          </cell>
          <cell r="E62" t="str">
            <v>438c7e7</v>
          </cell>
          <cell r="F62" t="str">
            <v xml:space="preserve"> Размысловский Павел Алексеевич</v>
          </cell>
          <cell r="G62" t="str">
            <v>2004</v>
          </cell>
          <cell r="H62" t="str">
            <v xml:space="preserve"> Ялта</v>
          </cell>
          <cell r="I62">
            <v>614.58000000000004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>
            <v>0</v>
          </cell>
          <cell r="B63">
            <v>0</v>
          </cell>
          <cell r="C63">
            <v>4</v>
          </cell>
          <cell r="D63">
            <v>74</v>
          </cell>
          <cell r="E63" t="str">
            <v>444934e</v>
          </cell>
          <cell r="F63" t="str">
            <v xml:space="preserve"> Иванов Константин Николаевич</v>
          </cell>
          <cell r="G63" t="str">
            <v>1999</v>
          </cell>
          <cell r="H63" t="str">
            <v xml:space="preserve"> Ялта</v>
          </cell>
          <cell r="I63">
            <v>605.73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A64">
            <v>0</v>
          </cell>
          <cell r="B64">
            <v>0</v>
          </cell>
          <cell r="C64">
            <v>5</v>
          </cell>
          <cell r="D64">
            <v>75</v>
          </cell>
          <cell r="E64" t="str">
            <v>7c076b4</v>
          </cell>
          <cell r="F64" t="str">
            <v xml:space="preserve"> Поляков Дмитрий Игоревич</v>
          </cell>
          <cell r="G64" t="str">
            <v>2004</v>
          </cell>
          <cell r="H64" t="str">
            <v xml:space="preserve"> Ялта</v>
          </cell>
          <cell r="I64">
            <v>579.76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>
            <v>0</v>
          </cell>
          <cell r="B65">
            <v>0</v>
          </cell>
          <cell r="C65">
            <v>6</v>
          </cell>
          <cell r="D65">
            <v>76</v>
          </cell>
          <cell r="E65" t="str">
            <v>6d92b3e</v>
          </cell>
          <cell r="F65" t="str">
            <v xml:space="preserve"> Гузенко Глеб Русланович</v>
          </cell>
          <cell r="G65" t="str">
            <v>2004</v>
          </cell>
          <cell r="H65" t="str">
            <v xml:space="preserve"> Ялта</v>
          </cell>
          <cell r="I65">
            <v>485.21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>
            <v>0</v>
          </cell>
          <cell r="B66">
            <v>0</v>
          </cell>
          <cell r="C66">
            <v>7</v>
          </cell>
          <cell r="D66">
            <v>77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>
            <v>0</v>
          </cell>
          <cell r="B67">
            <v>0</v>
          </cell>
          <cell r="C67">
            <v>8</v>
          </cell>
          <cell r="D67">
            <v>78</v>
          </cell>
          <cell r="E67" t="str">
            <v>-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>
            <v>0</v>
          </cell>
          <cell r="B68">
            <v>0</v>
          </cell>
          <cell r="C68" t="str">
            <v>Тренер: Прима В.А.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>
            <v>8</v>
          </cell>
          <cell r="B69" t="str">
            <v>«Спортшкола №3(1)» г.Симферополь</v>
          </cell>
          <cell r="C69">
            <v>1</v>
          </cell>
          <cell r="D69">
            <v>81</v>
          </cell>
          <cell r="E69" t="str">
            <v>1021a3b</v>
          </cell>
          <cell r="F69" t="str">
            <v xml:space="preserve"> Пыльник Данил Александрович</v>
          </cell>
          <cell r="G69" t="str">
            <v>2005</v>
          </cell>
          <cell r="H69" t="str">
            <v xml:space="preserve"> Симферополь</v>
          </cell>
          <cell r="I69">
            <v>718.62</v>
          </cell>
          <cell r="J69">
            <v>1951.48</v>
          </cell>
          <cell r="K69">
            <v>0</v>
          </cell>
          <cell r="L69">
            <v>0</v>
          </cell>
          <cell r="M69">
            <v>0</v>
          </cell>
        </row>
        <row r="70">
          <cell r="A70">
            <v>0</v>
          </cell>
          <cell r="B70">
            <v>0</v>
          </cell>
          <cell r="C70">
            <v>2</v>
          </cell>
          <cell r="D70">
            <v>82</v>
          </cell>
          <cell r="E70" t="str">
            <v>37278de</v>
          </cell>
          <cell r="F70" t="str">
            <v xml:space="preserve"> Орбакас Антон Эдуардесович</v>
          </cell>
          <cell r="G70" t="str">
            <v>1989</v>
          </cell>
          <cell r="H70" t="str">
            <v xml:space="preserve"> Симферополь</v>
          </cell>
          <cell r="I70">
            <v>681.98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>
            <v>0</v>
          </cell>
          <cell r="B71">
            <v>0</v>
          </cell>
          <cell r="C71">
            <v>3</v>
          </cell>
          <cell r="D71">
            <v>83</v>
          </cell>
          <cell r="E71" t="str">
            <v>3846bd4</v>
          </cell>
          <cell r="F71" t="str">
            <v xml:space="preserve"> Лойко Максим Александрович</v>
          </cell>
          <cell r="G71" t="str">
            <v>2010</v>
          </cell>
          <cell r="H71" t="str">
            <v xml:space="preserve"> Симферополь</v>
          </cell>
          <cell r="I71">
            <v>550.88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>
            <v>0</v>
          </cell>
          <cell r="B72">
            <v>0</v>
          </cell>
          <cell r="C72">
            <v>4</v>
          </cell>
          <cell r="D72">
            <v>84</v>
          </cell>
          <cell r="E72" t="str">
            <v>-</v>
          </cell>
          <cell r="F72" t="str">
            <v>-</v>
          </cell>
          <cell r="G72" t="str">
            <v>-</v>
          </cell>
          <cell r="H72" t="str">
            <v>-</v>
          </cell>
          <cell r="I72" t="str">
            <v>-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>
            <v>0</v>
          </cell>
          <cell r="B73">
            <v>0</v>
          </cell>
          <cell r="C73">
            <v>5</v>
          </cell>
          <cell r="D73">
            <v>85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>
            <v>0</v>
          </cell>
          <cell r="B74">
            <v>0</v>
          </cell>
          <cell r="C74">
            <v>6</v>
          </cell>
          <cell r="D74">
            <v>86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>
            <v>0</v>
          </cell>
          <cell r="B75">
            <v>0</v>
          </cell>
          <cell r="C75">
            <v>7</v>
          </cell>
          <cell r="D75">
            <v>87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>
            <v>0</v>
          </cell>
          <cell r="B76">
            <v>0</v>
          </cell>
          <cell r="C76">
            <v>8</v>
          </cell>
          <cell r="D76">
            <v>88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</v>
          </cell>
          <cell r="I76" t="str">
            <v>-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>
            <v>0</v>
          </cell>
          <cell r="B77">
            <v>0</v>
          </cell>
          <cell r="C77" t="str">
            <v>Тренер: Филатов Д.В.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>
            <v>9</v>
          </cell>
          <cell r="B78" t="str">
            <v>"Спортшкола - Юноши" г.Ялта</v>
          </cell>
          <cell r="C78">
            <v>1</v>
          </cell>
          <cell r="D78">
            <v>91</v>
          </cell>
          <cell r="E78" t="str">
            <v>15b2f3c</v>
          </cell>
          <cell r="F78" t="str">
            <v xml:space="preserve"> Бородин Илья Николаевич</v>
          </cell>
          <cell r="G78" t="str">
            <v>2001</v>
          </cell>
          <cell r="H78" t="str">
            <v xml:space="preserve"> Ялта</v>
          </cell>
          <cell r="I78">
            <v>869.89</v>
          </cell>
          <cell r="J78">
            <v>2067.37</v>
          </cell>
          <cell r="K78">
            <v>0</v>
          </cell>
          <cell r="L78">
            <v>0</v>
          </cell>
          <cell r="M78">
            <v>0</v>
          </cell>
        </row>
        <row r="79">
          <cell r="A79">
            <v>0</v>
          </cell>
          <cell r="B79">
            <v>0</v>
          </cell>
          <cell r="C79">
            <v>2</v>
          </cell>
          <cell r="D79">
            <v>92</v>
          </cell>
          <cell r="E79" t="str">
            <v>4bd8719</v>
          </cell>
          <cell r="F79" t="str">
            <v xml:space="preserve"> Чекалов Никита Геннадьевич</v>
          </cell>
          <cell r="G79" t="str">
            <v>2008</v>
          </cell>
          <cell r="H79" t="str">
            <v xml:space="preserve"> Ялта</v>
          </cell>
          <cell r="I79">
            <v>654.87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>
            <v>0</v>
          </cell>
          <cell r="B80">
            <v>0</v>
          </cell>
          <cell r="C80">
            <v>3</v>
          </cell>
          <cell r="D80">
            <v>93</v>
          </cell>
          <cell r="E80" t="str">
            <v>1499904</v>
          </cell>
          <cell r="F80" t="str">
            <v xml:space="preserve"> Груздов Дарион Сергеевич</v>
          </cell>
          <cell r="G80" t="str">
            <v>2003</v>
          </cell>
          <cell r="H80" t="str">
            <v xml:space="preserve"> Ялта</v>
          </cell>
          <cell r="I80">
            <v>542.61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>
            <v>0</v>
          </cell>
          <cell r="B81">
            <v>0</v>
          </cell>
          <cell r="C81">
            <v>4</v>
          </cell>
          <cell r="D81">
            <v>94</v>
          </cell>
          <cell r="E81" t="str">
            <v>37810b9</v>
          </cell>
          <cell r="F81" t="str">
            <v xml:space="preserve"> Чекалов Дмитрий Геннадьевич</v>
          </cell>
          <cell r="G81" t="str">
            <v>2007</v>
          </cell>
          <cell r="H81" t="str">
            <v xml:space="preserve"> Ялта</v>
          </cell>
          <cell r="I81">
            <v>531.85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>
            <v>0</v>
          </cell>
          <cell r="B82">
            <v>0</v>
          </cell>
          <cell r="C82">
            <v>5</v>
          </cell>
          <cell r="D82">
            <v>95</v>
          </cell>
          <cell r="E82" t="str">
            <v>472bc2f</v>
          </cell>
          <cell r="F82" t="str">
            <v xml:space="preserve"> Михайленко Кирилл Вадимович</v>
          </cell>
          <cell r="G82" t="str">
            <v>2005</v>
          </cell>
          <cell r="H82" t="str">
            <v xml:space="preserve"> Ялта</v>
          </cell>
          <cell r="I82">
            <v>509.52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>
            <v>0</v>
          </cell>
          <cell r="B83">
            <v>0</v>
          </cell>
          <cell r="C83">
            <v>6</v>
          </cell>
          <cell r="D83">
            <v>96</v>
          </cell>
          <cell r="E83" t="str">
            <v>5fe5231</v>
          </cell>
          <cell r="F83" t="str">
            <v xml:space="preserve"> Груздов Даниэль Сергеевич</v>
          </cell>
          <cell r="G83" t="str">
            <v>2002</v>
          </cell>
          <cell r="H83" t="str">
            <v xml:space="preserve"> Ялта</v>
          </cell>
          <cell r="I83">
            <v>434.55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>
            <v>0</v>
          </cell>
          <cell r="B84">
            <v>0</v>
          </cell>
          <cell r="C84">
            <v>7</v>
          </cell>
          <cell r="D84">
            <v>97</v>
          </cell>
          <cell r="E84" t="str">
            <v>-</v>
          </cell>
          <cell r="F84" t="str">
            <v>-</v>
          </cell>
          <cell r="G84" t="str">
            <v>-</v>
          </cell>
          <cell r="H84" t="str">
            <v>-</v>
          </cell>
          <cell r="I84" t="str">
            <v>-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>
            <v>0</v>
          </cell>
          <cell r="B85">
            <v>0</v>
          </cell>
          <cell r="C85">
            <v>8</v>
          </cell>
          <cell r="D85">
            <v>98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>
            <v>0</v>
          </cell>
          <cell r="B86">
            <v>0</v>
          </cell>
          <cell r="C86" t="str">
            <v>Тренер: Прима В.А.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>
            <v>10</v>
          </cell>
          <cell r="B87" t="str">
            <v>«Спортшкола №3(2)» г.Симферополь</v>
          </cell>
          <cell r="C87">
            <v>1</v>
          </cell>
          <cell r="D87">
            <v>101</v>
          </cell>
          <cell r="E87" t="str">
            <v>6b721a9</v>
          </cell>
          <cell r="F87" t="str">
            <v xml:space="preserve"> Талалай Игорь Сергеевич</v>
          </cell>
          <cell r="G87" t="str">
            <v>1990</v>
          </cell>
          <cell r="H87" t="str">
            <v xml:space="preserve"> Новая Каховка</v>
          </cell>
          <cell r="I87">
            <v>661.3</v>
          </cell>
          <cell r="J87">
            <v>1895.07</v>
          </cell>
          <cell r="K87">
            <v>0</v>
          </cell>
          <cell r="L87">
            <v>0</v>
          </cell>
          <cell r="M87">
            <v>0</v>
          </cell>
        </row>
        <row r="88">
          <cell r="A88">
            <v>0</v>
          </cell>
          <cell r="B88">
            <v>0</v>
          </cell>
          <cell r="C88">
            <v>2</v>
          </cell>
          <cell r="D88">
            <v>102</v>
          </cell>
          <cell r="E88" t="str">
            <v>3d70ec4</v>
          </cell>
          <cell r="F88" t="str">
            <v xml:space="preserve"> Назаренко Олег Михайлович</v>
          </cell>
          <cell r="G88" t="str">
            <v>1965</v>
          </cell>
          <cell r="H88" t="str">
            <v xml:space="preserve"> Керчь</v>
          </cell>
          <cell r="I88">
            <v>644.27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>
            <v>0</v>
          </cell>
          <cell r="B89">
            <v>0</v>
          </cell>
          <cell r="C89">
            <v>3</v>
          </cell>
          <cell r="D89">
            <v>103</v>
          </cell>
          <cell r="E89" t="str">
            <v>2f10517</v>
          </cell>
          <cell r="F89" t="str">
            <v xml:space="preserve"> Романовский Александр Витальевич</v>
          </cell>
          <cell r="G89" t="str">
            <v>2009</v>
          </cell>
          <cell r="H89" t="str">
            <v xml:space="preserve"> Симферополь</v>
          </cell>
          <cell r="I89">
            <v>589.5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>
            <v>0</v>
          </cell>
          <cell r="B90">
            <v>0</v>
          </cell>
          <cell r="C90">
            <v>4</v>
          </cell>
          <cell r="D90">
            <v>104</v>
          </cell>
          <cell r="E90" t="str">
            <v>4832b16</v>
          </cell>
          <cell r="F90" t="str">
            <v xml:space="preserve"> Алексеев Игорь Юрьевич</v>
          </cell>
          <cell r="G90" t="str">
            <v>2005</v>
          </cell>
          <cell r="H90" t="str">
            <v xml:space="preserve"> Сакский р-н</v>
          </cell>
          <cell r="I90">
            <v>584.39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>
            <v>0</v>
          </cell>
          <cell r="B91">
            <v>0</v>
          </cell>
          <cell r="C91">
            <v>5</v>
          </cell>
          <cell r="D91">
            <v>105</v>
          </cell>
          <cell r="E91" t="str">
            <v>711bb90</v>
          </cell>
          <cell r="F91" t="str">
            <v xml:space="preserve"> Тимофеев Александр Сергеевич</v>
          </cell>
          <cell r="G91" t="str">
            <v>2008</v>
          </cell>
          <cell r="H91" t="str">
            <v xml:space="preserve"> Симферополь</v>
          </cell>
          <cell r="I91">
            <v>539.14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>
            <v>0</v>
          </cell>
          <cell r="B92">
            <v>0</v>
          </cell>
          <cell r="C92">
            <v>6</v>
          </cell>
          <cell r="D92">
            <v>106</v>
          </cell>
          <cell r="E92" t="str">
            <v>75a1a60</v>
          </cell>
          <cell r="F92" t="str">
            <v xml:space="preserve"> Спорышев Александр Алексеевич</v>
          </cell>
          <cell r="G92" t="str">
            <v>2006</v>
          </cell>
          <cell r="H92" t="str">
            <v xml:space="preserve"> Симферополь</v>
          </cell>
          <cell r="I92">
            <v>521.19000000000005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>
            <v>0</v>
          </cell>
          <cell r="B93">
            <v>0</v>
          </cell>
          <cell r="C93">
            <v>7</v>
          </cell>
          <cell r="D93">
            <v>107</v>
          </cell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>
            <v>0</v>
          </cell>
          <cell r="B94">
            <v>0</v>
          </cell>
          <cell r="C94">
            <v>8</v>
          </cell>
          <cell r="D94">
            <v>108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 t="str">
            <v>-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>
            <v>0</v>
          </cell>
          <cell r="B95">
            <v>0</v>
          </cell>
          <cell r="C95" t="str">
            <v>Тренер: Филатов Д.В.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EZ56"/>
  <sheetViews>
    <sheetView showGridLines="0" zoomScale="55" zoomScaleNormal="55" workbookViewId="0">
      <selection activeCell="EF47" activeCellId="2" sqref="EF25:EN25 EF36:EN36 EF47:EN47"/>
    </sheetView>
  </sheetViews>
  <sheetFormatPr defaultRowHeight="15" x14ac:dyDescent="0.25"/>
  <cols>
    <col min="2" max="49" width="1.28515625" style="133" customWidth="1"/>
    <col min="50" max="50" width="1.42578125" style="133" customWidth="1"/>
    <col min="51" max="75" width="1.28515625" style="133" customWidth="1"/>
    <col min="76" max="153" width="1.28515625" customWidth="1"/>
  </cols>
  <sheetData>
    <row r="1" spans="1:156" ht="15.75" thickBot="1" x14ac:dyDescent="0.3">
      <c r="A1" s="132"/>
    </row>
    <row r="2" spans="1:156" ht="21.75" thickTop="1" thickBot="1" x14ac:dyDescent="0.3">
      <c r="B2" s="284" t="s">
        <v>12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4" t="s">
        <v>95</v>
      </c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6"/>
      <c r="BX2" s="26"/>
      <c r="BY2" s="287" t="s">
        <v>13</v>
      </c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9"/>
      <c r="DS2" s="19"/>
      <c r="DT2" s="265" t="s">
        <v>21</v>
      </c>
      <c r="DU2" s="266"/>
      <c r="DV2" s="266"/>
      <c r="DW2" s="266"/>
      <c r="DX2" s="266"/>
      <c r="DY2" s="266"/>
      <c r="DZ2" s="266"/>
      <c r="EA2" s="266"/>
      <c r="EB2" s="266"/>
      <c r="EC2" s="266"/>
      <c r="ED2" s="266"/>
      <c r="EE2" s="267"/>
      <c r="EF2" s="265" t="s">
        <v>22</v>
      </c>
      <c r="EG2" s="266"/>
      <c r="EH2" s="266"/>
      <c r="EI2" s="266"/>
      <c r="EJ2" s="266"/>
      <c r="EK2" s="266"/>
      <c r="EL2" s="266"/>
      <c r="EM2" s="266"/>
      <c r="EN2" s="267"/>
      <c r="EO2" s="265" t="s">
        <v>16</v>
      </c>
      <c r="EP2" s="266"/>
      <c r="EQ2" s="266"/>
      <c r="ER2" s="266"/>
      <c r="ES2" s="266"/>
      <c r="ET2" s="266"/>
      <c r="EU2" s="266"/>
      <c r="EV2" s="266"/>
      <c r="EW2" s="267"/>
      <c r="EY2" s="215">
        <v>1</v>
      </c>
      <c r="EZ2" s="215"/>
    </row>
    <row r="3" spans="1:156" ht="30.75" thickBot="1" x14ac:dyDescent="0.3">
      <c r="B3" s="268" t="str">
        <f ca="1">INDIRECT(ADDRESS(11,29,4,1,EF3))</f>
        <v>«Интер»  г.Евпатория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8" t="str">
        <f ca="1">INDIRECT(ADDRESS(11,87,4,1,EF3))</f>
        <v>«Спортшкола» г. Ялта</v>
      </c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70"/>
      <c r="BX3" s="30"/>
      <c r="BY3" s="271" t="str">
        <f ca="1">INDIRECT(ADDRESS(11,146,4,1,EF3))</f>
        <v>г. Симферополь 
28-29 октября 2023 г.</v>
      </c>
      <c r="BZ3" s="272"/>
      <c r="CA3" s="272"/>
      <c r="CB3" s="272"/>
      <c r="CC3" s="272"/>
      <c r="CD3" s="272"/>
      <c r="CE3" s="272"/>
      <c r="CF3" s="272"/>
      <c r="CG3" s="272"/>
      <c r="CH3" s="272"/>
      <c r="CI3" s="272"/>
      <c r="CJ3" s="272"/>
      <c r="CK3" s="272"/>
      <c r="CL3" s="272"/>
      <c r="CM3" s="272"/>
      <c r="CN3" s="272"/>
      <c r="CO3" s="272"/>
      <c r="CP3" s="272"/>
      <c r="CQ3" s="272"/>
      <c r="CR3" s="272"/>
      <c r="CS3" s="272"/>
      <c r="CT3" s="272"/>
      <c r="CU3" s="272"/>
      <c r="CV3" s="272"/>
      <c r="CW3" s="272"/>
      <c r="CX3" s="272"/>
      <c r="CY3" s="272"/>
      <c r="CZ3" s="272"/>
      <c r="DA3" s="272"/>
      <c r="DB3" s="272"/>
      <c r="DC3" s="272"/>
      <c r="DD3" s="272"/>
      <c r="DE3" s="272"/>
      <c r="DF3" s="272"/>
      <c r="DG3" s="272"/>
      <c r="DH3" s="272"/>
      <c r="DI3" s="272"/>
      <c r="DJ3" s="272"/>
      <c r="DK3" s="272"/>
      <c r="DL3" s="272"/>
      <c r="DM3" s="272"/>
      <c r="DN3" s="272"/>
      <c r="DO3" s="272"/>
      <c r="DP3" s="272"/>
      <c r="DQ3" s="272"/>
      <c r="DR3" s="273"/>
      <c r="DS3" s="19"/>
      <c r="DT3" s="274" t="str">
        <f ca="1">INDIRECT(ADDRESS(13,193,4,1,EF3))</f>
        <v>тур 1, встреча 1, 3 - 7</v>
      </c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6"/>
      <c r="EF3" s="277">
        <f>(EY2-1)*5+1</f>
        <v>1</v>
      </c>
      <c r="EG3" s="278"/>
      <c r="EH3" s="278"/>
      <c r="EI3" s="278"/>
      <c r="EJ3" s="278"/>
      <c r="EK3" s="278"/>
      <c r="EL3" s="278"/>
      <c r="EM3" s="278"/>
      <c r="EN3" s="279"/>
      <c r="EO3" s="277" t="str">
        <f ca="1">INDIRECT(ADDRESS(11,214,4,1,EF3))</f>
        <v/>
      </c>
      <c r="EP3" s="278"/>
      <c r="EQ3" s="278"/>
      <c r="ER3" s="278"/>
      <c r="ES3" s="278"/>
      <c r="ET3" s="278"/>
      <c r="EU3" s="278"/>
      <c r="EV3" s="278"/>
      <c r="EW3" s="279"/>
      <c r="EY3" s="215"/>
      <c r="EZ3" s="215"/>
    </row>
    <row r="4" spans="1:156" ht="20.25" thickTop="1" thickBot="1" x14ac:dyDescent="0.3">
      <c r="B4" s="134"/>
      <c r="C4" s="134"/>
      <c r="D4" s="134"/>
      <c r="E4" s="134"/>
      <c r="F4" s="134"/>
      <c r="G4" s="134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</row>
    <row r="5" spans="1:156" ht="30" customHeight="1" thickTop="1" thickBot="1" x14ac:dyDescent="0.3">
      <c r="B5" s="258" t="s">
        <v>23</v>
      </c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60"/>
      <c r="AM5" s="258" t="s">
        <v>23</v>
      </c>
      <c r="AN5" s="259"/>
      <c r="AO5" s="259"/>
      <c r="AP5" s="259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259"/>
      <c r="BQ5" s="259"/>
      <c r="BR5" s="259"/>
      <c r="BS5" s="259"/>
      <c r="BT5" s="259"/>
      <c r="BU5" s="259"/>
      <c r="BV5" s="259"/>
      <c r="BW5" s="260"/>
      <c r="BX5" s="261" t="s">
        <v>27</v>
      </c>
      <c r="BY5" s="262"/>
      <c r="BZ5" s="262"/>
      <c r="CA5" s="262"/>
      <c r="CB5" s="262"/>
      <c r="CC5" s="262"/>
      <c r="CD5" s="262"/>
      <c r="CE5" s="262"/>
      <c r="CF5" s="262"/>
      <c r="CG5" s="263"/>
      <c r="CH5" s="264" t="s">
        <v>28</v>
      </c>
      <c r="CI5" s="262"/>
      <c r="CJ5" s="262"/>
      <c r="CK5" s="262"/>
      <c r="CL5" s="262"/>
      <c r="CM5" s="262"/>
      <c r="CN5" s="262"/>
      <c r="CO5" s="262"/>
      <c r="CP5" s="262"/>
      <c r="CQ5" s="263"/>
      <c r="CR5" s="264" t="s">
        <v>29</v>
      </c>
      <c r="CS5" s="262"/>
      <c r="CT5" s="262"/>
      <c r="CU5" s="262"/>
      <c r="CV5" s="262"/>
      <c r="CW5" s="262"/>
      <c r="CX5" s="262"/>
      <c r="CY5" s="262"/>
      <c r="CZ5" s="262"/>
      <c r="DA5" s="263"/>
      <c r="DB5" s="264" t="s">
        <v>30</v>
      </c>
      <c r="DC5" s="262"/>
      <c r="DD5" s="262"/>
      <c r="DE5" s="262"/>
      <c r="DF5" s="262"/>
      <c r="DG5" s="262"/>
      <c r="DH5" s="262"/>
      <c r="DI5" s="262"/>
      <c r="DJ5" s="262"/>
      <c r="DK5" s="263"/>
      <c r="DL5" s="264" t="s">
        <v>31</v>
      </c>
      <c r="DM5" s="262"/>
      <c r="DN5" s="262"/>
      <c r="DO5" s="262"/>
      <c r="DP5" s="262"/>
      <c r="DQ5" s="262"/>
      <c r="DR5" s="262"/>
      <c r="DS5" s="262"/>
      <c r="DT5" s="262"/>
      <c r="DU5" s="280"/>
      <c r="DV5" s="281" t="s">
        <v>32</v>
      </c>
      <c r="DW5" s="282"/>
      <c r="DX5" s="282"/>
      <c r="DY5" s="282"/>
      <c r="DZ5" s="282"/>
      <c r="EA5" s="282"/>
      <c r="EB5" s="282"/>
      <c r="EC5" s="282"/>
      <c r="ED5" s="282"/>
      <c r="EE5" s="282"/>
      <c r="EF5" s="282"/>
      <c r="EG5" s="282"/>
      <c r="EH5" s="282"/>
      <c r="EI5" s="283"/>
      <c r="EJ5" s="281" t="s">
        <v>33</v>
      </c>
      <c r="EK5" s="282"/>
      <c r="EL5" s="282"/>
      <c r="EM5" s="282"/>
      <c r="EN5" s="282"/>
      <c r="EO5" s="282"/>
      <c r="EP5" s="282"/>
      <c r="EQ5" s="282"/>
      <c r="ER5" s="282"/>
      <c r="ES5" s="282"/>
      <c r="ET5" s="282"/>
      <c r="EU5" s="282"/>
      <c r="EV5" s="282"/>
      <c r="EW5" s="283"/>
    </row>
    <row r="6" spans="1:156" ht="36" thickTop="1" x14ac:dyDescent="0.25">
      <c r="B6" s="324" t="s">
        <v>17</v>
      </c>
      <c r="C6" s="325"/>
      <c r="D6" s="325"/>
      <c r="E6" s="325"/>
      <c r="F6" s="326"/>
      <c r="G6" s="327" t="str">
        <f ca="1">INDIRECT(ADDRESS(16,34,4,1,EF3))</f>
        <v xml:space="preserve"> Сорбало Владислав Федорович</v>
      </c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9"/>
      <c r="AM6" s="324" t="s">
        <v>35</v>
      </c>
      <c r="AN6" s="325"/>
      <c r="AO6" s="325"/>
      <c r="AP6" s="325"/>
      <c r="AQ6" s="326"/>
      <c r="AR6" s="330" t="str">
        <f ca="1">INDIRECT(ADDRESS(16,92,4,1,EF3))</f>
        <v xml:space="preserve"> Иванов Константин Николаевич</v>
      </c>
      <c r="AS6" s="331"/>
      <c r="AT6" s="331"/>
      <c r="AU6" s="331"/>
      <c r="AV6" s="331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2"/>
      <c r="BX6" s="333">
        <f ca="1">INDIRECT(ADDRESS(16,145,4,1,EF3))</f>
        <v>11</v>
      </c>
      <c r="BY6" s="320"/>
      <c r="BZ6" s="320"/>
      <c r="CA6" s="320"/>
      <c r="CB6" s="314" t="str">
        <f ca="1">IF(BX6="","","-")</f>
        <v>-</v>
      </c>
      <c r="CC6" s="314"/>
      <c r="CD6" s="320">
        <f ca="1">INDIRECT(ADDRESS(16,151,4,1,EF3))</f>
        <v>7</v>
      </c>
      <c r="CE6" s="320"/>
      <c r="CF6" s="320"/>
      <c r="CG6" s="321"/>
      <c r="CH6" s="322">
        <f ca="1">INDIRECT(ADDRESS(16,155,4,1,EF3))</f>
        <v>11</v>
      </c>
      <c r="CI6" s="320"/>
      <c r="CJ6" s="320"/>
      <c r="CK6" s="320"/>
      <c r="CL6" s="323" t="str">
        <f ca="1">IF(CH6="","","-")</f>
        <v>-</v>
      </c>
      <c r="CM6" s="323"/>
      <c r="CN6" s="320">
        <f ca="1">INDIRECT(ADDRESS(16,161,4,1,EF3))</f>
        <v>6</v>
      </c>
      <c r="CO6" s="320"/>
      <c r="CP6" s="320"/>
      <c r="CQ6" s="321"/>
      <c r="CR6" s="322">
        <f ca="1">INDIRECT(ADDRESS(16,165,4,1,EF3))</f>
        <v>11</v>
      </c>
      <c r="CS6" s="320"/>
      <c r="CT6" s="320"/>
      <c r="CU6" s="320"/>
      <c r="CV6" s="323" t="str">
        <f ca="1">IF(CR6="","","-")</f>
        <v>-</v>
      </c>
      <c r="CW6" s="323"/>
      <c r="CX6" s="320">
        <f ca="1">INDIRECT(ADDRESS(16,171,4,1,EF3))</f>
        <v>5</v>
      </c>
      <c r="CY6" s="320"/>
      <c r="CZ6" s="320"/>
      <c r="DA6" s="321"/>
      <c r="DB6" s="322" t="str">
        <f ca="1">INDIRECT(ADDRESS(16,175,4,1,EF3))</f>
        <v/>
      </c>
      <c r="DC6" s="320"/>
      <c r="DD6" s="320"/>
      <c r="DE6" s="320"/>
      <c r="DF6" s="323" t="str">
        <f ca="1">IF(DB6="","","-")</f>
        <v/>
      </c>
      <c r="DG6" s="323"/>
      <c r="DH6" s="320" t="str">
        <f ca="1">INDIRECT(ADDRESS(16,181,4,1,EF3))</f>
        <v/>
      </c>
      <c r="DI6" s="320"/>
      <c r="DJ6" s="320"/>
      <c r="DK6" s="321"/>
      <c r="DL6" s="257" t="str">
        <f ca="1">INDIRECT(ADDRESS(16,185,4,1,EF3))</f>
        <v/>
      </c>
      <c r="DM6" s="255"/>
      <c r="DN6" s="255"/>
      <c r="DO6" s="255"/>
      <c r="DP6" s="254" t="str">
        <f ca="1">IF(DL6="","","-")</f>
        <v/>
      </c>
      <c r="DQ6" s="254"/>
      <c r="DR6" s="255" t="str">
        <f ca="1">INDIRECT(ADDRESS(16,191,4,1,EF3))</f>
        <v/>
      </c>
      <c r="DS6" s="255"/>
      <c r="DT6" s="255"/>
      <c r="DU6" s="302"/>
      <c r="DV6" s="309">
        <f ca="1">INDIRECT(ADDRESS(16,195,4,1,EF3))</f>
        <v>3</v>
      </c>
      <c r="DW6" s="310"/>
      <c r="DX6" s="310"/>
      <c r="DY6" s="310"/>
      <c r="DZ6" s="310"/>
      <c r="EA6" s="310"/>
      <c r="EB6" s="311"/>
      <c r="EC6" s="312">
        <f ca="1">INDIRECT(ADDRESS(16,202,4,1,EF3))</f>
        <v>0</v>
      </c>
      <c r="ED6" s="310"/>
      <c r="EE6" s="310"/>
      <c r="EF6" s="310"/>
      <c r="EG6" s="310"/>
      <c r="EH6" s="310"/>
      <c r="EI6" s="313"/>
      <c r="EJ6" s="315">
        <f ca="1">INDIRECT(ADDRESS(16,209,4,1,EF3))</f>
        <v>1</v>
      </c>
      <c r="EK6" s="316"/>
      <c r="EL6" s="316"/>
      <c r="EM6" s="316"/>
      <c r="EN6" s="316"/>
      <c r="EO6" s="316"/>
      <c r="EP6" s="317"/>
      <c r="EQ6" s="318">
        <f ca="1">INDIRECT(ADDRESS(16,216,4,1,EF3))</f>
        <v>0</v>
      </c>
      <c r="ER6" s="316"/>
      <c r="ES6" s="316"/>
      <c r="ET6" s="316"/>
      <c r="EU6" s="316"/>
      <c r="EV6" s="316"/>
      <c r="EW6" s="319"/>
    </row>
    <row r="7" spans="1:156" ht="35.25" customHeight="1" x14ac:dyDescent="0.25">
      <c r="B7" s="305" t="s">
        <v>18</v>
      </c>
      <c r="C7" s="306"/>
      <c r="D7" s="306"/>
      <c r="E7" s="306"/>
      <c r="F7" s="307"/>
      <c r="G7" s="298" t="str">
        <f ca="1">INDIRECT(ADDRESS(17,34,4,1,EF3))</f>
        <v xml:space="preserve"> Каулик Алексей Сергеевич</v>
      </c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300"/>
      <c r="AM7" s="305" t="s">
        <v>34</v>
      </c>
      <c r="AN7" s="306"/>
      <c r="AO7" s="306"/>
      <c r="AP7" s="306"/>
      <c r="AQ7" s="307"/>
      <c r="AR7" s="298" t="str">
        <f ca="1">INDIRECT(ADDRESS(17,92,4,1,EF3))</f>
        <v xml:space="preserve"> Худенко Александр Сергеевич</v>
      </c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300"/>
      <c r="BX7" s="301">
        <f ca="1">INDIRECT(ADDRESS(17,145,4,1,EF3))</f>
        <v>7</v>
      </c>
      <c r="BY7" s="255"/>
      <c r="BZ7" s="255"/>
      <c r="CA7" s="255"/>
      <c r="CB7" s="297" t="str">
        <f ca="1">IF(BX7="","","-")</f>
        <v>-</v>
      </c>
      <c r="CC7" s="297"/>
      <c r="CD7" s="255">
        <f ca="1">INDIRECT(ADDRESS(17,151,4,1,EF3))</f>
        <v>11</v>
      </c>
      <c r="CE7" s="255"/>
      <c r="CF7" s="255"/>
      <c r="CG7" s="256"/>
      <c r="CH7" s="257">
        <f ca="1">INDIRECT(ADDRESS(17,155,4,1,EF3))</f>
        <v>11</v>
      </c>
      <c r="CI7" s="255"/>
      <c r="CJ7" s="255"/>
      <c r="CK7" s="255"/>
      <c r="CL7" s="254" t="str">
        <f ca="1">IF(CH7="","","-")</f>
        <v>-</v>
      </c>
      <c r="CM7" s="254"/>
      <c r="CN7" s="255">
        <f ca="1">INDIRECT(ADDRESS(17,161,4,1,EF3))</f>
        <v>7</v>
      </c>
      <c r="CO7" s="255"/>
      <c r="CP7" s="255"/>
      <c r="CQ7" s="256"/>
      <c r="CR7" s="257">
        <f ca="1">INDIRECT(ADDRESS(17,165,4,1,EF3))</f>
        <v>9</v>
      </c>
      <c r="CS7" s="255"/>
      <c r="CT7" s="255"/>
      <c r="CU7" s="255"/>
      <c r="CV7" s="254" t="str">
        <f ca="1">IF(CR7="","","-")</f>
        <v>-</v>
      </c>
      <c r="CW7" s="254"/>
      <c r="CX7" s="255">
        <f ca="1">INDIRECT(ADDRESS(17,171,4,1,EF3))</f>
        <v>11</v>
      </c>
      <c r="CY7" s="255"/>
      <c r="CZ7" s="255"/>
      <c r="DA7" s="256"/>
      <c r="DB7" s="257">
        <f ca="1">INDIRECT(ADDRESS(17,175,4,1,EF3))</f>
        <v>11</v>
      </c>
      <c r="DC7" s="255"/>
      <c r="DD7" s="255"/>
      <c r="DE7" s="255"/>
      <c r="DF7" s="254" t="str">
        <f ca="1">IF(DB7="","","-")</f>
        <v>-</v>
      </c>
      <c r="DG7" s="254"/>
      <c r="DH7" s="255">
        <f ca="1">INDIRECT(ADDRESS(17,181,4,1,EF3))</f>
        <v>9</v>
      </c>
      <c r="DI7" s="255"/>
      <c r="DJ7" s="255"/>
      <c r="DK7" s="256"/>
      <c r="DL7" s="257">
        <f ca="1">INDIRECT(ADDRESS(17,185,4,1,EF3))</f>
        <v>11</v>
      </c>
      <c r="DM7" s="255"/>
      <c r="DN7" s="255"/>
      <c r="DO7" s="255"/>
      <c r="DP7" s="254" t="str">
        <f ca="1">IF(DL7="","","-")</f>
        <v>-</v>
      </c>
      <c r="DQ7" s="254"/>
      <c r="DR7" s="255">
        <f ca="1">INDIRECT(ADDRESS(17,191,4,1,EF3))</f>
        <v>1</v>
      </c>
      <c r="DS7" s="255"/>
      <c r="DT7" s="255"/>
      <c r="DU7" s="302"/>
      <c r="DV7" s="303">
        <f ca="1">INDIRECT(ADDRESS(17,195,4,1,EF3))</f>
        <v>3</v>
      </c>
      <c r="DW7" s="247"/>
      <c r="DX7" s="247"/>
      <c r="DY7" s="247"/>
      <c r="DZ7" s="247"/>
      <c r="EA7" s="247"/>
      <c r="EB7" s="304"/>
      <c r="EC7" s="246">
        <f ca="1">INDIRECT(ADDRESS(17,202,4,1,EF3))</f>
        <v>2</v>
      </c>
      <c r="ED7" s="247"/>
      <c r="EE7" s="247"/>
      <c r="EF7" s="247"/>
      <c r="EG7" s="247"/>
      <c r="EH7" s="247"/>
      <c r="EI7" s="248"/>
      <c r="EJ7" s="249">
        <f ca="1">INDIRECT(ADDRESS(17,209,4,1,EF3))</f>
        <v>1</v>
      </c>
      <c r="EK7" s="250"/>
      <c r="EL7" s="250"/>
      <c r="EM7" s="250"/>
      <c r="EN7" s="250"/>
      <c r="EO7" s="250"/>
      <c r="EP7" s="251"/>
      <c r="EQ7" s="252">
        <f ca="1">INDIRECT(ADDRESS(17,216,4,1,EF3))</f>
        <v>0</v>
      </c>
      <c r="ER7" s="250"/>
      <c r="ES7" s="250"/>
      <c r="ET7" s="250"/>
      <c r="EU7" s="250"/>
      <c r="EV7" s="250"/>
      <c r="EW7" s="253"/>
    </row>
    <row r="8" spans="1:156" ht="35.25" x14ac:dyDescent="0.25">
      <c r="B8" s="305" t="s">
        <v>36</v>
      </c>
      <c r="C8" s="306"/>
      <c r="D8" s="306"/>
      <c r="E8" s="306"/>
      <c r="F8" s="307"/>
      <c r="G8" s="298" t="str">
        <f ca="1">INDIRECT(ADDRESS(18,34,4,1,EF3))</f>
        <v xml:space="preserve"> Сыч Станислав Викторович</v>
      </c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I8" s="299"/>
      <c r="AJ8" s="299"/>
      <c r="AK8" s="299"/>
      <c r="AL8" s="308"/>
      <c r="AM8" s="305" t="s">
        <v>37</v>
      </c>
      <c r="AN8" s="306"/>
      <c r="AO8" s="306"/>
      <c r="AP8" s="306"/>
      <c r="AQ8" s="307"/>
      <c r="AR8" s="298" t="str">
        <f ca="1">INDIRECT(ADDRESS(18,92,4,1,EF3))</f>
        <v/>
      </c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300"/>
      <c r="BX8" s="301">
        <f ca="1">INDIRECT(ADDRESS(18,145,4,1,EF3))</f>
        <v>11</v>
      </c>
      <c r="BY8" s="255"/>
      <c r="BZ8" s="255"/>
      <c r="CA8" s="255"/>
      <c r="CB8" s="297" t="str">
        <f ca="1">IF(BX8="","","-")</f>
        <v>-</v>
      </c>
      <c r="CC8" s="297"/>
      <c r="CD8" s="255">
        <f ca="1">INDIRECT(ADDRESS(18,151,4,1,EF3))</f>
        <v>0</v>
      </c>
      <c r="CE8" s="255"/>
      <c r="CF8" s="255"/>
      <c r="CG8" s="256"/>
      <c r="CH8" s="257">
        <f ca="1">INDIRECT(ADDRESS(18,155,4,1,EF3))</f>
        <v>11</v>
      </c>
      <c r="CI8" s="255"/>
      <c r="CJ8" s="255"/>
      <c r="CK8" s="255"/>
      <c r="CL8" s="254" t="str">
        <f ca="1">IF(CH8="","","-")</f>
        <v>-</v>
      </c>
      <c r="CM8" s="254"/>
      <c r="CN8" s="255">
        <f ca="1">INDIRECT(ADDRESS(18,161,4,1,EF3))</f>
        <v>0</v>
      </c>
      <c r="CO8" s="255"/>
      <c r="CP8" s="255"/>
      <c r="CQ8" s="256"/>
      <c r="CR8" s="257">
        <f ca="1">INDIRECT(ADDRESS(18,165,4,1,EF3))</f>
        <v>11</v>
      </c>
      <c r="CS8" s="255"/>
      <c r="CT8" s="255"/>
      <c r="CU8" s="255"/>
      <c r="CV8" s="254" t="str">
        <f ca="1">IF(CR8="","","-")</f>
        <v>-</v>
      </c>
      <c r="CW8" s="254"/>
      <c r="CX8" s="255">
        <f ca="1">INDIRECT(ADDRESS(18,171,4,1,EF3))</f>
        <v>0</v>
      </c>
      <c r="CY8" s="255"/>
      <c r="CZ8" s="255"/>
      <c r="DA8" s="256"/>
      <c r="DB8" s="257" t="str">
        <f ca="1">INDIRECT(ADDRESS(18,175,4,1,EF3))</f>
        <v/>
      </c>
      <c r="DC8" s="255"/>
      <c r="DD8" s="255"/>
      <c r="DE8" s="255"/>
      <c r="DF8" s="254" t="str">
        <f ca="1">IF(DB8="","","-")</f>
        <v/>
      </c>
      <c r="DG8" s="254"/>
      <c r="DH8" s="255" t="str">
        <f ca="1">INDIRECT(ADDRESS(18,181,4,1,EF3))</f>
        <v/>
      </c>
      <c r="DI8" s="255"/>
      <c r="DJ8" s="255"/>
      <c r="DK8" s="256"/>
      <c r="DL8" s="257" t="str">
        <f ca="1">INDIRECT(ADDRESS(18,185,4,1,EF3))</f>
        <v/>
      </c>
      <c r="DM8" s="255"/>
      <c r="DN8" s="255"/>
      <c r="DO8" s="255"/>
      <c r="DP8" s="254" t="str">
        <f ca="1">IF(DL8="","","-")</f>
        <v/>
      </c>
      <c r="DQ8" s="254"/>
      <c r="DR8" s="255" t="str">
        <f ca="1">INDIRECT(ADDRESS(18,191,4,1,EF3))</f>
        <v/>
      </c>
      <c r="DS8" s="255"/>
      <c r="DT8" s="255"/>
      <c r="DU8" s="302"/>
      <c r="DV8" s="303">
        <f ca="1">INDIRECT(ADDRESS(18,195,4,1,EF3))</f>
        <v>3</v>
      </c>
      <c r="DW8" s="247"/>
      <c r="DX8" s="247"/>
      <c r="DY8" s="247"/>
      <c r="DZ8" s="247"/>
      <c r="EA8" s="247"/>
      <c r="EB8" s="304"/>
      <c r="EC8" s="246">
        <f ca="1">INDIRECT(ADDRESS(18,202,4,1,EF3))</f>
        <v>0</v>
      </c>
      <c r="ED8" s="247"/>
      <c r="EE8" s="247"/>
      <c r="EF8" s="247"/>
      <c r="EG8" s="247"/>
      <c r="EH8" s="247"/>
      <c r="EI8" s="248"/>
      <c r="EJ8" s="249">
        <f ca="1">INDIRECT(ADDRESS(18,209,4,1,EF3))</f>
        <v>1</v>
      </c>
      <c r="EK8" s="250"/>
      <c r="EL8" s="250"/>
      <c r="EM8" s="250"/>
      <c r="EN8" s="250"/>
      <c r="EO8" s="250"/>
      <c r="EP8" s="251"/>
      <c r="EQ8" s="252">
        <f ca="1">INDIRECT(ADDRESS(18,216,4,1,EF3))</f>
        <v>0</v>
      </c>
      <c r="ER8" s="250"/>
      <c r="ES8" s="250"/>
      <c r="ET8" s="250"/>
      <c r="EU8" s="250"/>
      <c r="EV8" s="250"/>
      <c r="EW8" s="253"/>
    </row>
    <row r="9" spans="1:156" ht="35.25" x14ac:dyDescent="0.25">
      <c r="B9" s="305" t="s">
        <v>17</v>
      </c>
      <c r="C9" s="306"/>
      <c r="D9" s="306"/>
      <c r="E9" s="306"/>
      <c r="F9" s="307"/>
      <c r="G9" s="298" t="str">
        <f ca="1">INDIRECT(ADDRESS(19,34,4,1,EF3))</f>
        <v xml:space="preserve"> Сорбало Владислав Федорович</v>
      </c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308"/>
      <c r="AM9" s="305" t="s">
        <v>34</v>
      </c>
      <c r="AN9" s="306"/>
      <c r="AO9" s="306"/>
      <c r="AP9" s="306"/>
      <c r="AQ9" s="307"/>
      <c r="AR9" s="298" t="str">
        <f ca="1">INDIRECT(ADDRESS(19,92,4,1,EF3))</f>
        <v xml:space="preserve"> Худенко Александр Сергеевич</v>
      </c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300"/>
      <c r="BX9" s="301" t="str">
        <f ca="1">INDIRECT(ADDRESS(19,145,4,1,EF3))</f>
        <v/>
      </c>
      <c r="BY9" s="255"/>
      <c r="BZ9" s="255"/>
      <c r="CA9" s="255"/>
      <c r="CB9" s="297" t="str">
        <f ca="1">IF(BX9="","","-")</f>
        <v/>
      </c>
      <c r="CC9" s="297"/>
      <c r="CD9" s="255" t="str">
        <f ca="1">INDIRECT(ADDRESS(19,151,4,1,EF3))</f>
        <v/>
      </c>
      <c r="CE9" s="255"/>
      <c r="CF9" s="255"/>
      <c r="CG9" s="256"/>
      <c r="CH9" s="257" t="str">
        <f ca="1">INDIRECT(ADDRESS(19,155,4,1,EF3))</f>
        <v/>
      </c>
      <c r="CI9" s="255"/>
      <c r="CJ9" s="255"/>
      <c r="CK9" s="255"/>
      <c r="CL9" s="254" t="str">
        <f ca="1">IF(CH9="","","-")</f>
        <v/>
      </c>
      <c r="CM9" s="254"/>
      <c r="CN9" s="255" t="str">
        <f ca="1">INDIRECT(ADDRESS(19,161,4,1,EF3))</f>
        <v/>
      </c>
      <c r="CO9" s="255"/>
      <c r="CP9" s="255"/>
      <c r="CQ9" s="256"/>
      <c r="CR9" s="257" t="str">
        <f ca="1">INDIRECT(ADDRESS(19,165,4,1,EF3))</f>
        <v/>
      </c>
      <c r="CS9" s="255"/>
      <c r="CT9" s="255"/>
      <c r="CU9" s="255"/>
      <c r="CV9" s="254" t="str">
        <f ca="1">IF(CR9="","","-")</f>
        <v/>
      </c>
      <c r="CW9" s="254"/>
      <c r="CX9" s="255" t="str">
        <f ca="1">INDIRECT(ADDRESS(19,171,4,1,EF3))</f>
        <v/>
      </c>
      <c r="CY9" s="255"/>
      <c r="CZ9" s="255"/>
      <c r="DA9" s="256"/>
      <c r="DB9" s="257" t="str">
        <f ca="1">INDIRECT(ADDRESS(19,175,4,1,EF3))</f>
        <v/>
      </c>
      <c r="DC9" s="255"/>
      <c r="DD9" s="255"/>
      <c r="DE9" s="255"/>
      <c r="DF9" s="254" t="str">
        <f ca="1">IF(DB9="","","-")</f>
        <v/>
      </c>
      <c r="DG9" s="254"/>
      <c r="DH9" s="255" t="str">
        <f ca="1">INDIRECT(ADDRESS(19,181,4,1,EF3))</f>
        <v/>
      </c>
      <c r="DI9" s="255"/>
      <c r="DJ9" s="255"/>
      <c r="DK9" s="256"/>
      <c r="DL9" s="257" t="str">
        <f ca="1">INDIRECT(ADDRESS(19,185,4,1,EF3))</f>
        <v/>
      </c>
      <c r="DM9" s="255"/>
      <c r="DN9" s="255"/>
      <c r="DO9" s="255"/>
      <c r="DP9" s="254" t="str">
        <f ca="1">IF(DL9="","","-")</f>
        <v/>
      </c>
      <c r="DQ9" s="254"/>
      <c r="DR9" s="255" t="str">
        <f ca="1">INDIRECT(ADDRESS(19,191,4,1,EF3))</f>
        <v/>
      </c>
      <c r="DS9" s="255"/>
      <c r="DT9" s="255"/>
      <c r="DU9" s="302"/>
      <c r="DV9" s="303" t="str">
        <f ca="1">INDIRECT(ADDRESS(19,195,4,1,EF3))</f>
        <v/>
      </c>
      <c r="DW9" s="247"/>
      <c r="DX9" s="247"/>
      <c r="DY9" s="247"/>
      <c r="DZ9" s="247"/>
      <c r="EA9" s="247"/>
      <c r="EB9" s="304"/>
      <c r="EC9" s="246" t="str">
        <f ca="1">INDIRECT(ADDRESS(19,202,4,1,EF3))</f>
        <v/>
      </c>
      <c r="ED9" s="247"/>
      <c r="EE9" s="247"/>
      <c r="EF9" s="247"/>
      <c r="EG9" s="247"/>
      <c r="EH9" s="247"/>
      <c r="EI9" s="248"/>
      <c r="EJ9" s="249" t="str">
        <f ca="1">INDIRECT(ADDRESS(19,209,4,1,EF3))</f>
        <v/>
      </c>
      <c r="EK9" s="250"/>
      <c r="EL9" s="250"/>
      <c r="EM9" s="250"/>
      <c r="EN9" s="250"/>
      <c r="EO9" s="250"/>
      <c r="EP9" s="251"/>
      <c r="EQ9" s="252" t="str">
        <f ca="1">INDIRECT(ADDRESS(19,216,4,1,EF3))</f>
        <v/>
      </c>
      <c r="ER9" s="250"/>
      <c r="ES9" s="250"/>
      <c r="ET9" s="250"/>
      <c r="EU9" s="250"/>
      <c r="EV9" s="250"/>
      <c r="EW9" s="253"/>
    </row>
    <row r="10" spans="1:156" ht="36" thickBot="1" x14ac:dyDescent="0.3">
      <c r="B10" s="290" t="s">
        <v>18</v>
      </c>
      <c r="C10" s="291"/>
      <c r="D10" s="291"/>
      <c r="E10" s="291"/>
      <c r="F10" s="292"/>
      <c r="G10" s="293" t="str">
        <f ca="1">INDIRECT(ADDRESS(20,34,4,1,EF3))</f>
        <v xml:space="preserve"> Каулик Алексей Сергеевич</v>
      </c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5"/>
      <c r="AM10" s="290" t="s">
        <v>35</v>
      </c>
      <c r="AN10" s="291"/>
      <c r="AO10" s="291"/>
      <c r="AP10" s="291"/>
      <c r="AQ10" s="292"/>
      <c r="AR10" s="293" t="str">
        <f ca="1">INDIRECT(ADDRESS(20,92,4,1,EF3))</f>
        <v xml:space="preserve"> Иванов Константин Николаевич</v>
      </c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6"/>
      <c r="BX10" s="244" t="str">
        <f ca="1">INDIRECT(ADDRESS(20,145,4,1,EF3))</f>
        <v/>
      </c>
      <c r="BY10" s="233"/>
      <c r="BZ10" s="233"/>
      <c r="CA10" s="233"/>
      <c r="CB10" s="245" t="str">
        <f ca="1">IF(BX10="","","-")</f>
        <v/>
      </c>
      <c r="CC10" s="245"/>
      <c r="CD10" s="233" t="str">
        <f ca="1">INDIRECT(ADDRESS(20,151,4,1,EF3))</f>
        <v/>
      </c>
      <c r="CE10" s="233"/>
      <c r="CF10" s="233"/>
      <c r="CG10" s="243"/>
      <c r="CH10" s="232" t="str">
        <f ca="1">INDIRECT(ADDRESS(20,155,4,1,EF3))</f>
        <v/>
      </c>
      <c r="CI10" s="233"/>
      <c r="CJ10" s="233"/>
      <c r="CK10" s="233"/>
      <c r="CL10" s="234" t="str">
        <f ca="1">IF(CH10="","","-")</f>
        <v/>
      </c>
      <c r="CM10" s="234"/>
      <c r="CN10" s="233" t="str">
        <f ca="1">INDIRECT(ADDRESS(20,161,4,1,EF3))</f>
        <v/>
      </c>
      <c r="CO10" s="233"/>
      <c r="CP10" s="233"/>
      <c r="CQ10" s="243"/>
      <c r="CR10" s="232" t="str">
        <f ca="1">INDIRECT(ADDRESS(20,165,4,1,EF3))</f>
        <v/>
      </c>
      <c r="CS10" s="233"/>
      <c r="CT10" s="233"/>
      <c r="CU10" s="233"/>
      <c r="CV10" s="234" t="str">
        <f ca="1">IF(CR10="","","-")</f>
        <v/>
      </c>
      <c r="CW10" s="234"/>
      <c r="CX10" s="233" t="str">
        <f ca="1">INDIRECT(ADDRESS(20,171,4,1,EF3))</f>
        <v/>
      </c>
      <c r="CY10" s="233"/>
      <c r="CZ10" s="233"/>
      <c r="DA10" s="243"/>
      <c r="DB10" s="232" t="str">
        <f ca="1">INDIRECT(ADDRESS(20,175,4,1,EF3))</f>
        <v/>
      </c>
      <c r="DC10" s="233"/>
      <c r="DD10" s="233"/>
      <c r="DE10" s="233"/>
      <c r="DF10" s="234" t="str">
        <f ca="1">IF(DB10="","","-")</f>
        <v/>
      </c>
      <c r="DG10" s="234"/>
      <c r="DH10" s="233" t="str">
        <f ca="1">INDIRECT(ADDRESS(20,181,4,1,EF3))</f>
        <v/>
      </c>
      <c r="DI10" s="233"/>
      <c r="DJ10" s="233"/>
      <c r="DK10" s="243"/>
      <c r="DL10" s="232" t="str">
        <f ca="1">INDIRECT(ADDRESS(20,185,4,1,EF3))</f>
        <v/>
      </c>
      <c r="DM10" s="233"/>
      <c r="DN10" s="233"/>
      <c r="DO10" s="233"/>
      <c r="DP10" s="234" t="str">
        <f ca="1">IF(DL10="","","-")</f>
        <v/>
      </c>
      <c r="DQ10" s="234"/>
      <c r="DR10" s="233" t="str">
        <f ca="1">INDIRECT(ADDRESS(20,191,4,1,EF3))</f>
        <v/>
      </c>
      <c r="DS10" s="233"/>
      <c r="DT10" s="233"/>
      <c r="DU10" s="235"/>
      <c r="DV10" s="236" t="str">
        <f ca="1">INDIRECT(ADDRESS(20,195,4,1,EF3))</f>
        <v/>
      </c>
      <c r="DW10" s="237"/>
      <c r="DX10" s="237"/>
      <c r="DY10" s="237"/>
      <c r="DZ10" s="237"/>
      <c r="EA10" s="237"/>
      <c r="EB10" s="238"/>
      <c r="EC10" s="239" t="str">
        <f ca="1">INDIRECT(ADDRESS(20,202,4,1,EF3))</f>
        <v/>
      </c>
      <c r="ED10" s="237"/>
      <c r="EE10" s="237"/>
      <c r="EF10" s="237"/>
      <c r="EG10" s="237"/>
      <c r="EH10" s="237"/>
      <c r="EI10" s="240"/>
      <c r="EJ10" s="241" t="str">
        <f ca="1">INDIRECT(ADDRESS(20,209,4,1,EF3))</f>
        <v/>
      </c>
      <c r="EK10" s="217"/>
      <c r="EL10" s="217"/>
      <c r="EM10" s="217"/>
      <c r="EN10" s="217"/>
      <c r="EO10" s="217"/>
      <c r="EP10" s="242"/>
      <c r="EQ10" s="216" t="str">
        <f ca="1">INDIRECT(ADDRESS(20,216,4,1,EF3))</f>
        <v/>
      </c>
      <c r="ER10" s="217"/>
      <c r="ES10" s="217"/>
      <c r="ET10" s="217"/>
      <c r="EU10" s="217"/>
      <c r="EV10" s="217"/>
      <c r="EW10" s="218"/>
    </row>
    <row r="11" spans="1:156" ht="36.75" thickTop="1" thickBot="1" x14ac:dyDescent="0.3">
      <c r="B11" s="219" t="s">
        <v>38</v>
      </c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20" t="str">
        <f ca="1">INDIRECT(ADDRESS(21,87,4,1,EF3))</f>
        <v>«Интер»  г.Евпатория</v>
      </c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  <c r="BN11" s="220"/>
      <c r="BO11" s="220"/>
      <c r="BP11" s="220"/>
      <c r="BQ11" s="220"/>
      <c r="BR11" s="220"/>
      <c r="BS11" s="220"/>
      <c r="BT11" s="220"/>
      <c r="BU11" s="220"/>
      <c r="BV11" s="220"/>
      <c r="BW11" s="220"/>
      <c r="BX11" s="220"/>
      <c r="BY11" s="220"/>
      <c r="BZ11" s="220"/>
      <c r="CA11" s="220"/>
      <c r="CB11" s="220"/>
      <c r="CC11" s="220"/>
      <c r="CD11" s="220"/>
      <c r="CE11" s="220"/>
      <c r="CF11" s="220"/>
      <c r="CG11" s="220"/>
      <c r="CH11" s="220"/>
      <c r="CI11" s="220"/>
      <c r="CJ11" s="220"/>
      <c r="CK11" s="220"/>
      <c r="CL11" s="220"/>
      <c r="CM11" s="220"/>
      <c r="CN11" s="220"/>
      <c r="CO11" s="220"/>
      <c r="CP11" s="220"/>
      <c r="CQ11" s="220"/>
      <c r="CR11" s="220"/>
      <c r="CS11" s="220"/>
      <c r="CT11" s="220"/>
      <c r="CU11" s="220"/>
      <c r="CV11" s="220"/>
      <c r="CW11" s="220"/>
      <c r="CX11" s="220"/>
      <c r="CY11" s="220"/>
      <c r="CZ11" s="220"/>
      <c r="DA11" s="220"/>
      <c r="DB11" s="220"/>
      <c r="DC11" s="220"/>
      <c r="DD11" s="220"/>
      <c r="DE11" s="220"/>
      <c r="DF11" s="220"/>
      <c r="DG11" s="220"/>
      <c r="DH11" s="220"/>
      <c r="DI11" s="220"/>
      <c r="DJ11" s="220"/>
      <c r="DK11" s="220"/>
      <c r="DL11" s="220"/>
      <c r="DM11" s="220"/>
      <c r="DN11" s="220"/>
      <c r="DO11" s="220"/>
      <c r="DP11" s="220"/>
      <c r="DQ11" s="220"/>
      <c r="DR11" s="220"/>
      <c r="DS11" s="220"/>
      <c r="DT11" s="220"/>
      <c r="DU11" s="220"/>
      <c r="DV11" s="221">
        <f ca="1">INDIRECT(ADDRESS(21,195,4,1,EF3))</f>
        <v>9</v>
      </c>
      <c r="DW11" s="222"/>
      <c r="DX11" s="222"/>
      <c r="DY11" s="222"/>
      <c r="DZ11" s="222"/>
      <c r="EA11" s="222"/>
      <c r="EB11" s="223"/>
      <c r="EC11" s="224">
        <f ca="1">INDIRECT(ADDRESS(21,202,4,1,EF3))</f>
        <v>2</v>
      </c>
      <c r="ED11" s="225"/>
      <c r="EE11" s="225"/>
      <c r="EF11" s="225"/>
      <c r="EG11" s="225"/>
      <c r="EH11" s="225"/>
      <c r="EI11" s="226"/>
      <c r="EJ11" s="227">
        <f ca="1">INDIRECT(ADDRESS(21,209,4,1,EF3))</f>
        <v>3</v>
      </c>
      <c r="EK11" s="228"/>
      <c r="EL11" s="228"/>
      <c r="EM11" s="228"/>
      <c r="EN11" s="228"/>
      <c r="EO11" s="228"/>
      <c r="EP11" s="229"/>
      <c r="EQ11" s="230">
        <f ca="1">INDIRECT(ADDRESS(21,216,4,1,EF3))</f>
        <v>0</v>
      </c>
      <c r="ER11" s="228"/>
      <c r="ES11" s="228"/>
      <c r="ET11" s="228"/>
      <c r="EU11" s="228"/>
      <c r="EV11" s="228"/>
      <c r="EW11" s="231"/>
    </row>
    <row r="12" spans="1:156" ht="16.5" thickTop="1" thickBot="1" x14ac:dyDescent="0.3">
      <c r="A12" s="132"/>
    </row>
    <row r="13" spans="1:156" ht="21.75" thickTop="1" thickBot="1" x14ac:dyDescent="0.3">
      <c r="B13" s="284" t="s">
        <v>12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4" t="s">
        <v>95</v>
      </c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6"/>
      <c r="BX13" s="26"/>
      <c r="BY13" s="287" t="s">
        <v>13</v>
      </c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9"/>
      <c r="DS13" s="19"/>
      <c r="DT13" s="265" t="s">
        <v>21</v>
      </c>
      <c r="DU13" s="266"/>
      <c r="DV13" s="266"/>
      <c r="DW13" s="266"/>
      <c r="DX13" s="266"/>
      <c r="DY13" s="266"/>
      <c r="DZ13" s="266"/>
      <c r="EA13" s="266"/>
      <c r="EB13" s="266"/>
      <c r="EC13" s="266"/>
      <c r="ED13" s="266"/>
      <c r="EE13" s="267"/>
      <c r="EF13" s="265" t="s">
        <v>22</v>
      </c>
      <c r="EG13" s="266"/>
      <c r="EH13" s="266"/>
      <c r="EI13" s="266"/>
      <c r="EJ13" s="266"/>
      <c r="EK13" s="266"/>
      <c r="EL13" s="266"/>
      <c r="EM13" s="266"/>
      <c r="EN13" s="267"/>
      <c r="EO13" s="265" t="s">
        <v>16</v>
      </c>
      <c r="EP13" s="266"/>
      <c r="EQ13" s="266"/>
      <c r="ER13" s="266"/>
      <c r="ES13" s="266"/>
      <c r="ET13" s="266"/>
      <c r="EU13" s="266"/>
      <c r="EV13" s="266"/>
      <c r="EW13" s="267"/>
    </row>
    <row r="14" spans="1:156" ht="30.75" customHeight="1" thickBot="1" x14ac:dyDescent="0.3">
      <c r="B14" s="268" t="str">
        <f ca="1">INDIRECT(ADDRESS(11,29,4,1,EF14))</f>
        <v>«Аэропорт - СШ №3» г.Симферополь</v>
      </c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8" t="str">
        <f ca="1">INDIRECT(ADDRESS(11,87,4,1,EF14))</f>
        <v>«СШ №3(1)» г.Симферополь</v>
      </c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70"/>
      <c r="BX14" s="30"/>
      <c r="BY14" s="271" t="str">
        <f ca="1">INDIRECT(ADDRESS(11,146,4,1,EF14))</f>
        <v>г. Симферополь 
28-29 октября 2023 г.</v>
      </c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3"/>
      <c r="DS14" s="19"/>
      <c r="DT14" s="274" t="str">
        <f ca="1">INDIRECT(ADDRESS(13,193,4,1,EF14))</f>
        <v>тур 1, встреча 2, 2 - 8</v>
      </c>
      <c r="DU14" s="275"/>
      <c r="DV14" s="275"/>
      <c r="DW14" s="275"/>
      <c r="DX14" s="275"/>
      <c r="DY14" s="275"/>
      <c r="DZ14" s="275"/>
      <c r="EA14" s="275"/>
      <c r="EB14" s="275"/>
      <c r="EC14" s="275"/>
      <c r="ED14" s="275"/>
      <c r="EE14" s="276"/>
      <c r="EF14" s="277">
        <f>EF3+1</f>
        <v>2</v>
      </c>
      <c r="EG14" s="278"/>
      <c r="EH14" s="278"/>
      <c r="EI14" s="278"/>
      <c r="EJ14" s="278"/>
      <c r="EK14" s="278"/>
      <c r="EL14" s="278"/>
      <c r="EM14" s="278"/>
      <c r="EN14" s="279"/>
      <c r="EO14" s="277" t="str">
        <f ca="1">INDIRECT(ADDRESS(11,214,4,1,EF14))</f>
        <v/>
      </c>
      <c r="EP14" s="278"/>
      <c r="EQ14" s="278"/>
      <c r="ER14" s="278"/>
      <c r="ES14" s="278"/>
      <c r="ET14" s="278"/>
      <c r="EU14" s="278"/>
      <c r="EV14" s="278"/>
      <c r="EW14" s="279"/>
    </row>
    <row r="15" spans="1:156" ht="20.25" thickTop="1" thickBot="1" x14ac:dyDescent="0.3">
      <c r="B15" s="134"/>
      <c r="C15" s="134"/>
      <c r="D15" s="134"/>
      <c r="E15" s="134"/>
      <c r="F15" s="134"/>
      <c r="G15" s="134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</row>
    <row r="16" spans="1:156" ht="30" customHeight="1" thickTop="1" thickBot="1" x14ac:dyDescent="0.3">
      <c r="B16" s="258" t="s">
        <v>23</v>
      </c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60"/>
      <c r="AM16" s="258" t="s">
        <v>23</v>
      </c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60"/>
      <c r="BX16" s="261" t="s">
        <v>27</v>
      </c>
      <c r="BY16" s="262"/>
      <c r="BZ16" s="262"/>
      <c r="CA16" s="262"/>
      <c r="CB16" s="262"/>
      <c r="CC16" s="262"/>
      <c r="CD16" s="262"/>
      <c r="CE16" s="262"/>
      <c r="CF16" s="262"/>
      <c r="CG16" s="263"/>
      <c r="CH16" s="264" t="s">
        <v>28</v>
      </c>
      <c r="CI16" s="262"/>
      <c r="CJ16" s="262"/>
      <c r="CK16" s="262"/>
      <c r="CL16" s="262"/>
      <c r="CM16" s="262"/>
      <c r="CN16" s="262"/>
      <c r="CO16" s="262"/>
      <c r="CP16" s="262"/>
      <c r="CQ16" s="263"/>
      <c r="CR16" s="264" t="s">
        <v>29</v>
      </c>
      <c r="CS16" s="262"/>
      <c r="CT16" s="262"/>
      <c r="CU16" s="262"/>
      <c r="CV16" s="262"/>
      <c r="CW16" s="262"/>
      <c r="CX16" s="262"/>
      <c r="CY16" s="262"/>
      <c r="CZ16" s="262"/>
      <c r="DA16" s="263"/>
      <c r="DB16" s="264" t="s">
        <v>30</v>
      </c>
      <c r="DC16" s="262"/>
      <c r="DD16" s="262"/>
      <c r="DE16" s="262"/>
      <c r="DF16" s="262"/>
      <c r="DG16" s="262"/>
      <c r="DH16" s="262"/>
      <c r="DI16" s="262"/>
      <c r="DJ16" s="262"/>
      <c r="DK16" s="263"/>
      <c r="DL16" s="264" t="s">
        <v>31</v>
      </c>
      <c r="DM16" s="262"/>
      <c r="DN16" s="262"/>
      <c r="DO16" s="262"/>
      <c r="DP16" s="262"/>
      <c r="DQ16" s="262"/>
      <c r="DR16" s="262"/>
      <c r="DS16" s="262"/>
      <c r="DT16" s="262"/>
      <c r="DU16" s="280"/>
      <c r="DV16" s="281" t="s">
        <v>32</v>
      </c>
      <c r="DW16" s="282"/>
      <c r="DX16" s="282"/>
      <c r="DY16" s="282"/>
      <c r="DZ16" s="282"/>
      <c r="EA16" s="282"/>
      <c r="EB16" s="282"/>
      <c r="EC16" s="282"/>
      <c r="ED16" s="282"/>
      <c r="EE16" s="282"/>
      <c r="EF16" s="282"/>
      <c r="EG16" s="282"/>
      <c r="EH16" s="282"/>
      <c r="EI16" s="283"/>
      <c r="EJ16" s="281" t="s">
        <v>33</v>
      </c>
      <c r="EK16" s="282"/>
      <c r="EL16" s="282"/>
      <c r="EM16" s="282"/>
      <c r="EN16" s="282"/>
      <c r="EO16" s="282"/>
      <c r="EP16" s="282"/>
      <c r="EQ16" s="282"/>
      <c r="ER16" s="282"/>
      <c r="ES16" s="282"/>
      <c r="ET16" s="282"/>
      <c r="EU16" s="282"/>
      <c r="EV16" s="282"/>
      <c r="EW16" s="283"/>
    </row>
    <row r="17" spans="1:153" ht="36" thickTop="1" x14ac:dyDescent="0.25">
      <c r="B17" s="324" t="s">
        <v>17</v>
      </c>
      <c r="C17" s="325"/>
      <c r="D17" s="325"/>
      <c r="E17" s="325"/>
      <c r="F17" s="326"/>
      <c r="G17" s="327" t="str">
        <f ca="1">INDIRECT(ADDRESS(16,34,4,1,EF14))</f>
        <v xml:space="preserve"> Лодыгин Владимир Вадимович</v>
      </c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9"/>
      <c r="AM17" s="324" t="s">
        <v>35</v>
      </c>
      <c r="AN17" s="325"/>
      <c r="AO17" s="325"/>
      <c r="AP17" s="325"/>
      <c r="AQ17" s="326"/>
      <c r="AR17" s="330" t="str">
        <f ca="1">INDIRECT(ADDRESS(16,92,4,1,EF14))</f>
        <v xml:space="preserve"> Орбакас Антон Эдуардесович</v>
      </c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2"/>
      <c r="BX17" s="333">
        <f ca="1">INDIRECT(ADDRESS(16,145,4,1,EF14))</f>
        <v>4</v>
      </c>
      <c r="BY17" s="320"/>
      <c r="BZ17" s="320"/>
      <c r="CA17" s="320"/>
      <c r="CB17" s="314" t="str">
        <f ca="1">IF(BX17="","","-")</f>
        <v>-</v>
      </c>
      <c r="CC17" s="314"/>
      <c r="CD17" s="320">
        <f ca="1">INDIRECT(ADDRESS(16,151,4,1,EF14))</f>
        <v>11</v>
      </c>
      <c r="CE17" s="320"/>
      <c r="CF17" s="320"/>
      <c r="CG17" s="321"/>
      <c r="CH17" s="322">
        <f ca="1">INDIRECT(ADDRESS(16,155,4,1,EF14))</f>
        <v>11</v>
      </c>
      <c r="CI17" s="320"/>
      <c r="CJ17" s="320"/>
      <c r="CK17" s="320"/>
      <c r="CL17" s="323" t="str">
        <f ca="1">IF(CH17="","","-")</f>
        <v>-</v>
      </c>
      <c r="CM17" s="323"/>
      <c r="CN17" s="320">
        <f ca="1">INDIRECT(ADDRESS(16,161,4,1,EF14))</f>
        <v>9</v>
      </c>
      <c r="CO17" s="320"/>
      <c r="CP17" s="320"/>
      <c r="CQ17" s="321"/>
      <c r="CR17" s="322">
        <f ca="1">INDIRECT(ADDRESS(16,165,4,1,EF14))</f>
        <v>6</v>
      </c>
      <c r="CS17" s="320"/>
      <c r="CT17" s="320"/>
      <c r="CU17" s="320"/>
      <c r="CV17" s="323" t="str">
        <f ca="1">IF(CR17="","","-")</f>
        <v>-</v>
      </c>
      <c r="CW17" s="323"/>
      <c r="CX17" s="320">
        <f ca="1">INDIRECT(ADDRESS(16,171,4,1,EF14))</f>
        <v>11</v>
      </c>
      <c r="CY17" s="320"/>
      <c r="CZ17" s="320"/>
      <c r="DA17" s="321"/>
      <c r="DB17" s="322">
        <f ca="1">INDIRECT(ADDRESS(16,175,4,1,EF14))</f>
        <v>8</v>
      </c>
      <c r="DC17" s="320"/>
      <c r="DD17" s="320"/>
      <c r="DE17" s="320"/>
      <c r="DF17" s="323" t="str">
        <f ca="1">IF(DB17="","","-")</f>
        <v>-</v>
      </c>
      <c r="DG17" s="323"/>
      <c r="DH17" s="320">
        <f ca="1">INDIRECT(ADDRESS(16,181,4,1,EF14))</f>
        <v>11</v>
      </c>
      <c r="DI17" s="320"/>
      <c r="DJ17" s="320"/>
      <c r="DK17" s="321"/>
      <c r="DL17" s="257" t="str">
        <f ca="1">INDIRECT(ADDRESS(16,185,4,1,EF14))</f>
        <v/>
      </c>
      <c r="DM17" s="255"/>
      <c r="DN17" s="255"/>
      <c r="DO17" s="255"/>
      <c r="DP17" s="254" t="str">
        <f ca="1">IF(DL17="","","-")</f>
        <v/>
      </c>
      <c r="DQ17" s="254"/>
      <c r="DR17" s="255" t="str">
        <f ca="1">INDIRECT(ADDRESS(16,191,4,1,EF14))</f>
        <v/>
      </c>
      <c r="DS17" s="255"/>
      <c r="DT17" s="255"/>
      <c r="DU17" s="302"/>
      <c r="DV17" s="309">
        <f ca="1">INDIRECT(ADDRESS(16,195,4,1,EF14))</f>
        <v>1</v>
      </c>
      <c r="DW17" s="310"/>
      <c r="DX17" s="310"/>
      <c r="DY17" s="310"/>
      <c r="DZ17" s="310"/>
      <c r="EA17" s="310"/>
      <c r="EB17" s="311"/>
      <c r="EC17" s="312">
        <f ca="1">INDIRECT(ADDRESS(16,202,4,1,EF14))</f>
        <v>3</v>
      </c>
      <c r="ED17" s="310"/>
      <c r="EE17" s="310"/>
      <c r="EF17" s="310"/>
      <c r="EG17" s="310"/>
      <c r="EH17" s="310"/>
      <c r="EI17" s="313"/>
      <c r="EJ17" s="315">
        <f ca="1">INDIRECT(ADDRESS(16,209,4,1,EF14))</f>
        <v>0</v>
      </c>
      <c r="EK17" s="316"/>
      <c r="EL17" s="316"/>
      <c r="EM17" s="316"/>
      <c r="EN17" s="316"/>
      <c r="EO17" s="316"/>
      <c r="EP17" s="317"/>
      <c r="EQ17" s="318">
        <f ca="1">INDIRECT(ADDRESS(16,216,4,1,EF14))</f>
        <v>1</v>
      </c>
      <c r="ER17" s="316"/>
      <c r="ES17" s="316"/>
      <c r="ET17" s="316"/>
      <c r="EU17" s="316"/>
      <c r="EV17" s="316"/>
      <c r="EW17" s="319"/>
    </row>
    <row r="18" spans="1:153" ht="35.25" customHeight="1" x14ac:dyDescent="0.25">
      <c r="B18" s="305" t="s">
        <v>18</v>
      </c>
      <c r="C18" s="306"/>
      <c r="D18" s="306"/>
      <c r="E18" s="306"/>
      <c r="F18" s="307"/>
      <c r="G18" s="298" t="str">
        <f ca="1">INDIRECT(ADDRESS(17,34,4,1,EF14))</f>
        <v xml:space="preserve"> Павлина Сергей Станиславович</v>
      </c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300"/>
      <c r="AM18" s="305" t="s">
        <v>34</v>
      </c>
      <c r="AN18" s="306"/>
      <c r="AO18" s="306"/>
      <c r="AP18" s="306"/>
      <c r="AQ18" s="307"/>
      <c r="AR18" s="298" t="str">
        <f ca="1">INDIRECT(ADDRESS(17,92,4,1,EF14))</f>
        <v xml:space="preserve"> Пыльник Данил Александрович</v>
      </c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300"/>
      <c r="BX18" s="301">
        <f ca="1">INDIRECT(ADDRESS(17,145,4,1,EF14))</f>
        <v>11</v>
      </c>
      <c r="BY18" s="255"/>
      <c r="BZ18" s="255"/>
      <c r="CA18" s="255"/>
      <c r="CB18" s="297" t="str">
        <f ca="1">IF(BX18="","","-")</f>
        <v>-</v>
      </c>
      <c r="CC18" s="297"/>
      <c r="CD18" s="255">
        <f ca="1">INDIRECT(ADDRESS(17,151,4,1,EF14))</f>
        <v>2</v>
      </c>
      <c r="CE18" s="255"/>
      <c r="CF18" s="255"/>
      <c r="CG18" s="256"/>
      <c r="CH18" s="257">
        <f ca="1">INDIRECT(ADDRESS(17,155,4,1,EF14))</f>
        <v>9</v>
      </c>
      <c r="CI18" s="255"/>
      <c r="CJ18" s="255"/>
      <c r="CK18" s="255"/>
      <c r="CL18" s="254" t="str">
        <f ca="1">IF(CH18="","","-")</f>
        <v>-</v>
      </c>
      <c r="CM18" s="254"/>
      <c r="CN18" s="255">
        <f ca="1">INDIRECT(ADDRESS(17,161,4,1,EF14))</f>
        <v>11</v>
      </c>
      <c r="CO18" s="255"/>
      <c r="CP18" s="255"/>
      <c r="CQ18" s="256"/>
      <c r="CR18" s="257">
        <f ca="1">INDIRECT(ADDRESS(17,165,4,1,EF14))</f>
        <v>11</v>
      </c>
      <c r="CS18" s="255"/>
      <c r="CT18" s="255"/>
      <c r="CU18" s="255"/>
      <c r="CV18" s="254" t="str">
        <f ca="1">IF(CR18="","","-")</f>
        <v>-</v>
      </c>
      <c r="CW18" s="254"/>
      <c r="CX18" s="255">
        <f ca="1">INDIRECT(ADDRESS(17,171,4,1,EF14))</f>
        <v>8</v>
      </c>
      <c r="CY18" s="255"/>
      <c r="CZ18" s="255"/>
      <c r="DA18" s="256"/>
      <c r="DB18" s="257">
        <f ca="1">INDIRECT(ADDRESS(17,175,4,1,EF14))</f>
        <v>11</v>
      </c>
      <c r="DC18" s="255"/>
      <c r="DD18" s="255"/>
      <c r="DE18" s="255"/>
      <c r="DF18" s="254" t="str">
        <f ca="1">IF(DB18="","","-")</f>
        <v>-</v>
      </c>
      <c r="DG18" s="254"/>
      <c r="DH18" s="255">
        <f ca="1">INDIRECT(ADDRESS(17,181,4,1,EF14))</f>
        <v>4</v>
      </c>
      <c r="DI18" s="255"/>
      <c r="DJ18" s="255"/>
      <c r="DK18" s="256"/>
      <c r="DL18" s="257" t="str">
        <f ca="1">INDIRECT(ADDRESS(17,185,4,1,EF14))</f>
        <v/>
      </c>
      <c r="DM18" s="255"/>
      <c r="DN18" s="255"/>
      <c r="DO18" s="255"/>
      <c r="DP18" s="254" t="str">
        <f ca="1">IF(DL18="","","-")</f>
        <v/>
      </c>
      <c r="DQ18" s="254"/>
      <c r="DR18" s="255" t="str">
        <f ca="1">INDIRECT(ADDRESS(17,191,4,1,EF14))</f>
        <v/>
      </c>
      <c r="DS18" s="255"/>
      <c r="DT18" s="255"/>
      <c r="DU18" s="302"/>
      <c r="DV18" s="303">
        <f ca="1">INDIRECT(ADDRESS(17,195,4,1,EF14))</f>
        <v>3</v>
      </c>
      <c r="DW18" s="247"/>
      <c r="DX18" s="247"/>
      <c r="DY18" s="247"/>
      <c r="DZ18" s="247"/>
      <c r="EA18" s="247"/>
      <c r="EB18" s="304"/>
      <c r="EC18" s="246">
        <f ca="1">INDIRECT(ADDRESS(17,202,4,1,EF14))</f>
        <v>1</v>
      </c>
      <c r="ED18" s="247"/>
      <c r="EE18" s="247"/>
      <c r="EF18" s="247"/>
      <c r="EG18" s="247"/>
      <c r="EH18" s="247"/>
      <c r="EI18" s="248"/>
      <c r="EJ18" s="249">
        <f ca="1">INDIRECT(ADDRESS(17,209,4,1,EF14))</f>
        <v>1</v>
      </c>
      <c r="EK18" s="250"/>
      <c r="EL18" s="250"/>
      <c r="EM18" s="250"/>
      <c r="EN18" s="250"/>
      <c r="EO18" s="250"/>
      <c r="EP18" s="251"/>
      <c r="EQ18" s="252">
        <f ca="1">INDIRECT(ADDRESS(17,216,4,1,EF14))</f>
        <v>0</v>
      </c>
      <c r="ER18" s="250"/>
      <c r="ES18" s="250"/>
      <c r="ET18" s="250"/>
      <c r="EU18" s="250"/>
      <c r="EV18" s="250"/>
      <c r="EW18" s="253"/>
    </row>
    <row r="19" spans="1:153" ht="35.25" x14ac:dyDescent="0.25">
      <c r="B19" s="305" t="s">
        <v>36</v>
      </c>
      <c r="C19" s="306"/>
      <c r="D19" s="306"/>
      <c r="E19" s="306"/>
      <c r="F19" s="307"/>
      <c r="G19" s="298" t="str">
        <f ca="1">INDIRECT(ADDRESS(18,34,4,1,EF14))</f>
        <v xml:space="preserve"> Банников Юрий Владимирович</v>
      </c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308"/>
      <c r="AM19" s="305" t="s">
        <v>37</v>
      </c>
      <c r="AN19" s="306"/>
      <c r="AO19" s="306"/>
      <c r="AP19" s="306"/>
      <c r="AQ19" s="307"/>
      <c r="AR19" s="298" t="str">
        <f ca="1">INDIRECT(ADDRESS(18,92,4,1,EF14))</f>
        <v xml:space="preserve"> Лойко Максим Александрович</v>
      </c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300"/>
      <c r="BX19" s="301">
        <f ca="1">INDIRECT(ADDRESS(18,145,4,1,EF14))</f>
        <v>11</v>
      </c>
      <c r="BY19" s="255"/>
      <c r="BZ19" s="255"/>
      <c r="CA19" s="255"/>
      <c r="CB19" s="297" t="str">
        <f ca="1">IF(BX19="","","-")</f>
        <v>-</v>
      </c>
      <c r="CC19" s="297"/>
      <c r="CD19" s="255">
        <f ca="1">INDIRECT(ADDRESS(18,151,4,1,EF14))</f>
        <v>4</v>
      </c>
      <c r="CE19" s="255"/>
      <c r="CF19" s="255"/>
      <c r="CG19" s="256"/>
      <c r="CH19" s="257">
        <f ca="1">INDIRECT(ADDRESS(18,155,4,1,EF14))</f>
        <v>11</v>
      </c>
      <c r="CI19" s="255"/>
      <c r="CJ19" s="255"/>
      <c r="CK19" s="255"/>
      <c r="CL19" s="254" t="str">
        <f ca="1">IF(CH19="","","-")</f>
        <v>-</v>
      </c>
      <c r="CM19" s="254"/>
      <c r="CN19" s="255">
        <f ca="1">INDIRECT(ADDRESS(18,161,4,1,EF14))</f>
        <v>5</v>
      </c>
      <c r="CO19" s="255"/>
      <c r="CP19" s="255"/>
      <c r="CQ19" s="256"/>
      <c r="CR19" s="257">
        <f ca="1">INDIRECT(ADDRESS(18,165,4,1,EF14))</f>
        <v>11</v>
      </c>
      <c r="CS19" s="255"/>
      <c r="CT19" s="255"/>
      <c r="CU19" s="255"/>
      <c r="CV19" s="254" t="str">
        <f ca="1">IF(CR19="","","-")</f>
        <v>-</v>
      </c>
      <c r="CW19" s="254"/>
      <c r="CX19" s="255">
        <f ca="1">INDIRECT(ADDRESS(18,171,4,1,EF14))</f>
        <v>7</v>
      </c>
      <c r="CY19" s="255"/>
      <c r="CZ19" s="255"/>
      <c r="DA19" s="256"/>
      <c r="DB19" s="257" t="str">
        <f ca="1">INDIRECT(ADDRESS(18,175,4,1,EF14))</f>
        <v/>
      </c>
      <c r="DC19" s="255"/>
      <c r="DD19" s="255"/>
      <c r="DE19" s="255"/>
      <c r="DF19" s="254" t="str">
        <f ca="1">IF(DB19="","","-")</f>
        <v/>
      </c>
      <c r="DG19" s="254"/>
      <c r="DH19" s="255" t="str">
        <f ca="1">INDIRECT(ADDRESS(18,181,4,1,EF14))</f>
        <v/>
      </c>
      <c r="DI19" s="255"/>
      <c r="DJ19" s="255"/>
      <c r="DK19" s="256"/>
      <c r="DL19" s="257" t="str">
        <f ca="1">INDIRECT(ADDRESS(18,185,4,1,EF14))</f>
        <v/>
      </c>
      <c r="DM19" s="255"/>
      <c r="DN19" s="255"/>
      <c r="DO19" s="255"/>
      <c r="DP19" s="254" t="str">
        <f ca="1">IF(DL19="","","-")</f>
        <v/>
      </c>
      <c r="DQ19" s="254"/>
      <c r="DR19" s="255" t="str">
        <f ca="1">INDIRECT(ADDRESS(18,191,4,1,EF14))</f>
        <v/>
      </c>
      <c r="DS19" s="255"/>
      <c r="DT19" s="255"/>
      <c r="DU19" s="302"/>
      <c r="DV19" s="303">
        <f ca="1">INDIRECT(ADDRESS(18,195,4,1,EF14))</f>
        <v>3</v>
      </c>
      <c r="DW19" s="247"/>
      <c r="DX19" s="247"/>
      <c r="DY19" s="247"/>
      <c r="DZ19" s="247"/>
      <c r="EA19" s="247"/>
      <c r="EB19" s="304"/>
      <c r="EC19" s="246">
        <f ca="1">INDIRECT(ADDRESS(18,202,4,1,EF14))</f>
        <v>0</v>
      </c>
      <c r="ED19" s="247"/>
      <c r="EE19" s="247"/>
      <c r="EF19" s="247"/>
      <c r="EG19" s="247"/>
      <c r="EH19" s="247"/>
      <c r="EI19" s="248"/>
      <c r="EJ19" s="249">
        <f ca="1">INDIRECT(ADDRESS(18,209,4,1,EF14))</f>
        <v>1</v>
      </c>
      <c r="EK19" s="250"/>
      <c r="EL19" s="250"/>
      <c r="EM19" s="250"/>
      <c r="EN19" s="250"/>
      <c r="EO19" s="250"/>
      <c r="EP19" s="251"/>
      <c r="EQ19" s="252">
        <f ca="1">INDIRECT(ADDRESS(18,216,4,1,EF14))</f>
        <v>0</v>
      </c>
      <c r="ER19" s="250"/>
      <c r="ES19" s="250"/>
      <c r="ET19" s="250"/>
      <c r="EU19" s="250"/>
      <c r="EV19" s="250"/>
      <c r="EW19" s="253"/>
    </row>
    <row r="20" spans="1:153" ht="35.25" x14ac:dyDescent="0.25">
      <c r="B20" s="305" t="s">
        <v>17</v>
      </c>
      <c r="C20" s="306"/>
      <c r="D20" s="306"/>
      <c r="E20" s="306"/>
      <c r="F20" s="307"/>
      <c r="G20" s="298" t="str">
        <f ca="1">INDIRECT(ADDRESS(19,34,4,1,EF14))</f>
        <v xml:space="preserve"> Лодыгин Владимир Вадимович</v>
      </c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308"/>
      <c r="AM20" s="305" t="s">
        <v>34</v>
      </c>
      <c r="AN20" s="306"/>
      <c r="AO20" s="306"/>
      <c r="AP20" s="306"/>
      <c r="AQ20" s="307"/>
      <c r="AR20" s="298" t="str">
        <f ca="1">INDIRECT(ADDRESS(19,92,4,1,EF14))</f>
        <v xml:space="preserve"> Пыльник Данил Александрович</v>
      </c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300"/>
      <c r="BX20" s="301">
        <f ca="1">INDIRECT(ADDRESS(19,145,4,1,EF14))</f>
        <v>11</v>
      </c>
      <c r="BY20" s="255"/>
      <c r="BZ20" s="255"/>
      <c r="CA20" s="255"/>
      <c r="CB20" s="297" t="str">
        <f ca="1">IF(BX20="","","-")</f>
        <v>-</v>
      </c>
      <c r="CC20" s="297"/>
      <c r="CD20" s="255">
        <f ca="1">INDIRECT(ADDRESS(19,151,4,1,EF14))</f>
        <v>8</v>
      </c>
      <c r="CE20" s="255"/>
      <c r="CF20" s="255"/>
      <c r="CG20" s="256"/>
      <c r="CH20" s="257">
        <f ca="1">INDIRECT(ADDRESS(19,155,4,1,EF14))</f>
        <v>11</v>
      </c>
      <c r="CI20" s="255"/>
      <c r="CJ20" s="255"/>
      <c r="CK20" s="255"/>
      <c r="CL20" s="254" t="str">
        <f ca="1">IF(CH20="","","-")</f>
        <v>-</v>
      </c>
      <c r="CM20" s="254"/>
      <c r="CN20" s="255">
        <f ca="1">INDIRECT(ADDRESS(19,161,4,1,EF14))</f>
        <v>6</v>
      </c>
      <c r="CO20" s="255"/>
      <c r="CP20" s="255"/>
      <c r="CQ20" s="256"/>
      <c r="CR20" s="257">
        <f ca="1">INDIRECT(ADDRESS(19,165,4,1,EF14))</f>
        <v>11</v>
      </c>
      <c r="CS20" s="255"/>
      <c r="CT20" s="255"/>
      <c r="CU20" s="255"/>
      <c r="CV20" s="254" t="str">
        <f ca="1">IF(CR20="","","-")</f>
        <v>-</v>
      </c>
      <c r="CW20" s="254"/>
      <c r="CX20" s="255">
        <f ca="1">INDIRECT(ADDRESS(19,171,4,1,EF14))</f>
        <v>6</v>
      </c>
      <c r="CY20" s="255"/>
      <c r="CZ20" s="255"/>
      <c r="DA20" s="256"/>
      <c r="DB20" s="257" t="str">
        <f ca="1">INDIRECT(ADDRESS(19,175,4,1,EF14))</f>
        <v/>
      </c>
      <c r="DC20" s="255"/>
      <c r="DD20" s="255"/>
      <c r="DE20" s="255"/>
      <c r="DF20" s="254" t="str">
        <f ca="1">IF(DB20="","","-")</f>
        <v/>
      </c>
      <c r="DG20" s="254"/>
      <c r="DH20" s="255" t="str">
        <f ca="1">INDIRECT(ADDRESS(19,181,4,1,EF14))</f>
        <v/>
      </c>
      <c r="DI20" s="255"/>
      <c r="DJ20" s="255"/>
      <c r="DK20" s="256"/>
      <c r="DL20" s="257" t="str">
        <f ca="1">INDIRECT(ADDRESS(19,185,4,1,EF14))</f>
        <v/>
      </c>
      <c r="DM20" s="255"/>
      <c r="DN20" s="255"/>
      <c r="DO20" s="255"/>
      <c r="DP20" s="254" t="str">
        <f ca="1">IF(DL20="","","-")</f>
        <v/>
      </c>
      <c r="DQ20" s="254"/>
      <c r="DR20" s="255" t="str">
        <f ca="1">INDIRECT(ADDRESS(19,191,4,1,EF14))</f>
        <v/>
      </c>
      <c r="DS20" s="255"/>
      <c r="DT20" s="255"/>
      <c r="DU20" s="302"/>
      <c r="DV20" s="303">
        <f ca="1">INDIRECT(ADDRESS(19,195,4,1,EF14))</f>
        <v>3</v>
      </c>
      <c r="DW20" s="247"/>
      <c r="DX20" s="247"/>
      <c r="DY20" s="247"/>
      <c r="DZ20" s="247"/>
      <c r="EA20" s="247"/>
      <c r="EB20" s="304"/>
      <c r="EC20" s="246">
        <f ca="1">INDIRECT(ADDRESS(19,202,4,1,EF14))</f>
        <v>0</v>
      </c>
      <c r="ED20" s="247"/>
      <c r="EE20" s="247"/>
      <c r="EF20" s="247"/>
      <c r="EG20" s="247"/>
      <c r="EH20" s="247"/>
      <c r="EI20" s="248"/>
      <c r="EJ20" s="249">
        <f ca="1">INDIRECT(ADDRESS(19,209,4,1,EF14))</f>
        <v>1</v>
      </c>
      <c r="EK20" s="250"/>
      <c r="EL20" s="250"/>
      <c r="EM20" s="250"/>
      <c r="EN20" s="250"/>
      <c r="EO20" s="250"/>
      <c r="EP20" s="251"/>
      <c r="EQ20" s="252">
        <f ca="1">INDIRECT(ADDRESS(19,216,4,1,EF14))</f>
        <v>0</v>
      </c>
      <c r="ER20" s="250"/>
      <c r="ES20" s="250"/>
      <c r="ET20" s="250"/>
      <c r="EU20" s="250"/>
      <c r="EV20" s="250"/>
      <c r="EW20" s="253"/>
    </row>
    <row r="21" spans="1:153" ht="36" thickBot="1" x14ac:dyDescent="0.3">
      <c r="B21" s="290" t="s">
        <v>18</v>
      </c>
      <c r="C21" s="291"/>
      <c r="D21" s="291"/>
      <c r="E21" s="291"/>
      <c r="F21" s="292"/>
      <c r="G21" s="293" t="str">
        <f ca="1">INDIRECT(ADDRESS(20,34,4,1,EF14))</f>
        <v xml:space="preserve"> Павлина Сергей Станиславович</v>
      </c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5"/>
      <c r="AM21" s="290" t="s">
        <v>35</v>
      </c>
      <c r="AN21" s="291"/>
      <c r="AO21" s="291"/>
      <c r="AP21" s="291"/>
      <c r="AQ21" s="292"/>
      <c r="AR21" s="293" t="str">
        <f ca="1">INDIRECT(ADDRESS(20,92,4,1,EF14))</f>
        <v xml:space="preserve"> Орбакас Антон Эдуардесович</v>
      </c>
      <c r="AS21" s="294"/>
      <c r="AT21" s="294"/>
      <c r="AU21" s="294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6"/>
      <c r="BX21" s="244" t="str">
        <f ca="1">INDIRECT(ADDRESS(20,145,4,1,EF14))</f>
        <v/>
      </c>
      <c r="BY21" s="233"/>
      <c r="BZ21" s="233"/>
      <c r="CA21" s="233"/>
      <c r="CB21" s="245" t="str">
        <f ca="1">IF(BX21="","","-")</f>
        <v/>
      </c>
      <c r="CC21" s="245"/>
      <c r="CD21" s="233" t="str">
        <f ca="1">INDIRECT(ADDRESS(20,151,4,1,EF14))</f>
        <v/>
      </c>
      <c r="CE21" s="233"/>
      <c r="CF21" s="233"/>
      <c r="CG21" s="243"/>
      <c r="CH21" s="232" t="str">
        <f ca="1">INDIRECT(ADDRESS(20,155,4,1,EF14))</f>
        <v/>
      </c>
      <c r="CI21" s="233"/>
      <c r="CJ21" s="233"/>
      <c r="CK21" s="233"/>
      <c r="CL21" s="234" t="str">
        <f ca="1">IF(CH21="","","-")</f>
        <v/>
      </c>
      <c r="CM21" s="234"/>
      <c r="CN21" s="233" t="str">
        <f ca="1">INDIRECT(ADDRESS(20,161,4,1,EF14))</f>
        <v/>
      </c>
      <c r="CO21" s="233"/>
      <c r="CP21" s="233"/>
      <c r="CQ21" s="243"/>
      <c r="CR21" s="232" t="str">
        <f ca="1">INDIRECT(ADDRESS(20,165,4,1,EF14))</f>
        <v/>
      </c>
      <c r="CS21" s="233"/>
      <c r="CT21" s="233"/>
      <c r="CU21" s="233"/>
      <c r="CV21" s="234" t="str">
        <f ca="1">IF(CR21="","","-")</f>
        <v/>
      </c>
      <c r="CW21" s="234"/>
      <c r="CX21" s="233" t="str">
        <f ca="1">INDIRECT(ADDRESS(20,171,4,1,EF14))</f>
        <v/>
      </c>
      <c r="CY21" s="233"/>
      <c r="CZ21" s="233"/>
      <c r="DA21" s="243"/>
      <c r="DB21" s="232" t="str">
        <f ca="1">INDIRECT(ADDRESS(20,175,4,1,EF14))</f>
        <v/>
      </c>
      <c r="DC21" s="233"/>
      <c r="DD21" s="233"/>
      <c r="DE21" s="233"/>
      <c r="DF21" s="234" t="str">
        <f ca="1">IF(DB21="","","-")</f>
        <v/>
      </c>
      <c r="DG21" s="234"/>
      <c r="DH21" s="233" t="str">
        <f ca="1">INDIRECT(ADDRESS(20,181,4,1,EF14))</f>
        <v/>
      </c>
      <c r="DI21" s="233"/>
      <c r="DJ21" s="233"/>
      <c r="DK21" s="243"/>
      <c r="DL21" s="232" t="str">
        <f ca="1">INDIRECT(ADDRESS(20,185,4,1,EF14))</f>
        <v/>
      </c>
      <c r="DM21" s="233"/>
      <c r="DN21" s="233"/>
      <c r="DO21" s="233"/>
      <c r="DP21" s="234" t="str">
        <f ca="1">IF(DL21="","","-")</f>
        <v/>
      </c>
      <c r="DQ21" s="234"/>
      <c r="DR21" s="233" t="str">
        <f ca="1">INDIRECT(ADDRESS(20,191,4,1,EF14))</f>
        <v/>
      </c>
      <c r="DS21" s="233"/>
      <c r="DT21" s="233"/>
      <c r="DU21" s="235"/>
      <c r="DV21" s="236" t="str">
        <f ca="1">INDIRECT(ADDRESS(20,195,4,1,EF14))</f>
        <v/>
      </c>
      <c r="DW21" s="237"/>
      <c r="DX21" s="237"/>
      <c r="DY21" s="237"/>
      <c r="DZ21" s="237"/>
      <c r="EA21" s="237"/>
      <c r="EB21" s="238"/>
      <c r="EC21" s="239" t="str">
        <f ca="1">INDIRECT(ADDRESS(20,202,4,1,EF14))</f>
        <v/>
      </c>
      <c r="ED21" s="237"/>
      <c r="EE21" s="237"/>
      <c r="EF21" s="237"/>
      <c r="EG21" s="237"/>
      <c r="EH21" s="237"/>
      <c r="EI21" s="240"/>
      <c r="EJ21" s="241" t="str">
        <f ca="1">INDIRECT(ADDRESS(20,209,4,1,EF14))</f>
        <v/>
      </c>
      <c r="EK21" s="217"/>
      <c r="EL21" s="217"/>
      <c r="EM21" s="217"/>
      <c r="EN21" s="217"/>
      <c r="EO21" s="217"/>
      <c r="EP21" s="242"/>
      <c r="EQ21" s="216" t="str">
        <f ca="1">INDIRECT(ADDRESS(20,216,4,1,EF14))</f>
        <v/>
      </c>
      <c r="ER21" s="217"/>
      <c r="ES21" s="217"/>
      <c r="ET21" s="217"/>
      <c r="EU21" s="217"/>
      <c r="EV21" s="217"/>
      <c r="EW21" s="218"/>
    </row>
    <row r="22" spans="1:153" ht="36.75" thickTop="1" thickBot="1" x14ac:dyDescent="0.3">
      <c r="B22" s="219" t="s">
        <v>38</v>
      </c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20" t="str">
        <f ca="1">INDIRECT(ADDRESS(21,87,4,1,EF14))</f>
        <v>«Аэропорт - СШ №3» г.Симферополь</v>
      </c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  <c r="CP22" s="220"/>
      <c r="CQ22" s="220"/>
      <c r="CR22" s="220"/>
      <c r="CS22" s="220"/>
      <c r="CT22" s="220"/>
      <c r="CU22" s="220"/>
      <c r="CV22" s="220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0"/>
      <c r="DJ22" s="220"/>
      <c r="DK22" s="220"/>
      <c r="DL22" s="220"/>
      <c r="DM22" s="220"/>
      <c r="DN22" s="220"/>
      <c r="DO22" s="220"/>
      <c r="DP22" s="220"/>
      <c r="DQ22" s="220"/>
      <c r="DR22" s="220"/>
      <c r="DS22" s="220"/>
      <c r="DT22" s="220"/>
      <c r="DU22" s="220"/>
      <c r="DV22" s="221">
        <f ca="1">INDIRECT(ADDRESS(21,195,4,1,EF14))</f>
        <v>10</v>
      </c>
      <c r="DW22" s="222"/>
      <c r="DX22" s="222"/>
      <c r="DY22" s="222"/>
      <c r="DZ22" s="222"/>
      <c r="EA22" s="222"/>
      <c r="EB22" s="223"/>
      <c r="EC22" s="224">
        <f ca="1">INDIRECT(ADDRESS(21,202,4,1,EF14))</f>
        <v>4</v>
      </c>
      <c r="ED22" s="225"/>
      <c r="EE22" s="225"/>
      <c r="EF22" s="225"/>
      <c r="EG22" s="225"/>
      <c r="EH22" s="225"/>
      <c r="EI22" s="226"/>
      <c r="EJ22" s="227">
        <f ca="1">INDIRECT(ADDRESS(21,209,4,1,EF14))</f>
        <v>3</v>
      </c>
      <c r="EK22" s="228"/>
      <c r="EL22" s="228"/>
      <c r="EM22" s="228"/>
      <c r="EN22" s="228"/>
      <c r="EO22" s="228"/>
      <c r="EP22" s="229"/>
      <c r="EQ22" s="230">
        <f ca="1">INDIRECT(ADDRESS(21,216,4,1,EF14))</f>
        <v>1</v>
      </c>
      <c r="ER22" s="228"/>
      <c r="ES22" s="228"/>
      <c r="ET22" s="228"/>
      <c r="EU22" s="228"/>
      <c r="EV22" s="228"/>
      <c r="EW22" s="231"/>
    </row>
    <row r="23" spans="1:153" ht="16.5" thickTop="1" thickBot="1" x14ac:dyDescent="0.3">
      <c r="A23" s="132"/>
    </row>
    <row r="24" spans="1:153" ht="21.75" thickTop="1" thickBot="1" x14ac:dyDescent="0.3">
      <c r="B24" s="284" t="s">
        <v>12</v>
      </c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4" t="s">
        <v>95</v>
      </c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5"/>
      <c r="BN24" s="285"/>
      <c r="BO24" s="285"/>
      <c r="BP24" s="285"/>
      <c r="BQ24" s="285"/>
      <c r="BR24" s="285"/>
      <c r="BS24" s="285"/>
      <c r="BT24" s="285"/>
      <c r="BU24" s="285"/>
      <c r="BV24" s="285"/>
      <c r="BW24" s="286"/>
      <c r="BX24" s="26"/>
      <c r="BY24" s="287" t="s">
        <v>13</v>
      </c>
      <c r="BZ24" s="288"/>
      <c r="CA24" s="288"/>
      <c r="CB24" s="288"/>
      <c r="CC24" s="288"/>
      <c r="CD24" s="288"/>
      <c r="CE24" s="288"/>
      <c r="CF24" s="288"/>
      <c r="CG24" s="288"/>
      <c r="CH24" s="288"/>
      <c r="CI24" s="288"/>
      <c r="CJ24" s="288"/>
      <c r="CK24" s="288"/>
      <c r="CL24" s="288"/>
      <c r="CM24" s="288"/>
      <c r="CN24" s="288"/>
      <c r="CO24" s="288"/>
      <c r="CP24" s="288"/>
      <c r="CQ24" s="288"/>
      <c r="CR24" s="288"/>
      <c r="CS24" s="288"/>
      <c r="CT24" s="288"/>
      <c r="CU24" s="288"/>
      <c r="CV24" s="288"/>
      <c r="CW24" s="288"/>
      <c r="CX24" s="288"/>
      <c r="CY24" s="288"/>
      <c r="CZ24" s="288"/>
      <c r="DA24" s="288"/>
      <c r="DB24" s="288"/>
      <c r="DC24" s="288"/>
      <c r="DD24" s="288"/>
      <c r="DE24" s="288"/>
      <c r="DF24" s="288"/>
      <c r="DG24" s="288"/>
      <c r="DH24" s="288"/>
      <c r="DI24" s="288"/>
      <c r="DJ24" s="288"/>
      <c r="DK24" s="288"/>
      <c r="DL24" s="288"/>
      <c r="DM24" s="288"/>
      <c r="DN24" s="288"/>
      <c r="DO24" s="288"/>
      <c r="DP24" s="288"/>
      <c r="DQ24" s="288"/>
      <c r="DR24" s="289"/>
      <c r="DS24" s="19"/>
      <c r="DT24" s="265" t="s">
        <v>21</v>
      </c>
      <c r="DU24" s="266"/>
      <c r="DV24" s="266"/>
      <c r="DW24" s="266"/>
      <c r="DX24" s="266"/>
      <c r="DY24" s="266"/>
      <c r="DZ24" s="266"/>
      <c r="EA24" s="266"/>
      <c r="EB24" s="266"/>
      <c r="EC24" s="266"/>
      <c r="ED24" s="266"/>
      <c r="EE24" s="267"/>
      <c r="EF24" s="265" t="s">
        <v>22</v>
      </c>
      <c r="EG24" s="266"/>
      <c r="EH24" s="266"/>
      <c r="EI24" s="266"/>
      <c r="EJ24" s="266"/>
      <c r="EK24" s="266"/>
      <c r="EL24" s="266"/>
      <c r="EM24" s="266"/>
      <c r="EN24" s="267"/>
      <c r="EO24" s="265" t="s">
        <v>16</v>
      </c>
      <c r="EP24" s="266"/>
      <c r="EQ24" s="266"/>
      <c r="ER24" s="266"/>
      <c r="ES24" s="266"/>
      <c r="ET24" s="266"/>
      <c r="EU24" s="266"/>
      <c r="EV24" s="266"/>
      <c r="EW24" s="267"/>
    </row>
    <row r="25" spans="1:153" ht="30.75" customHeight="1" thickBot="1" x14ac:dyDescent="0.3">
      <c r="B25" s="268" t="str">
        <f ca="1">INDIRECT(ADDRESS(11,29,4,1,EF25))</f>
        <v>«АРСЕНАЛ-С» г.Севастополь</v>
      </c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8" t="str">
        <f ca="1">INDIRECT(ADDRESS(11,87,4,1,EF25))</f>
        <v>«Дрим Тим» г.Симферополь</v>
      </c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70"/>
      <c r="BX25" s="30"/>
      <c r="BY25" s="271" t="str">
        <f ca="1">INDIRECT(ADDRESS(11,146,4,1,EF25))</f>
        <v>г. Симферополь 
28-29 октября 2023 г.</v>
      </c>
      <c r="BZ25" s="272"/>
      <c r="CA25" s="272"/>
      <c r="CB25" s="272"/>
      <c r="CC25" s="272"/>
      <c r="CD25" s="272"/>
      <c r="CE25" s="272"/>
      <c r="CF25" s="272"/>
      <c r="CG25" s="272"/>
      <c r="CH25" s="272"/>
      <c r="CI25" s="272"/>
      <c r="CJ25" s="272"/>
      <c r="CK25" s="272"/>
      <c r="CL25" s="272"/>
      <c r="CM25" s="272"/>
      <c r="CN25" s="272"/>
      <c r="CO25" s="272"/>
      <c r="CP25" s="272"/>
      <c r="CQ25" s="272"/>
      <c r="CR25" s="272"/>
      <c r="CS25" s="272"/>
      <c r="CT25" s="272"/>
      <c r="CU25" s="272"/>
      <c r="CV25" s="272"/>
      <c r="CW25" s="272"/>
      <c r="CX25" s="272"/>
      <c r="CY25" s="272"/>
      <c r="CZ25" s="272"/>
      <c r="DA25" s="272"/>
      <c r="DB25" s="272"/>
      <c r="DC25" s="272"/>
      <c r="DD25" s="272"/>
      <c r="DE25" s="272"/>
      <c r="DF25" s="272"/>
      <c r="DG25" s="272"/>
      <c r="DH25" s="272"/>
      <c r="DI25" s="272"/>
      <c r="DJ25" s="272"/>
      <c r="DK25" s="272"/>
      <c r="DL25" s="272"/>
      <c r="DM25" s="272"/>
      <c r="DN25" s="272"/>
      <c r="DO25" s="272"/>
      <c r="DP25" s="272"/>
      <c r="DQ25" s="272"/>
      <c r="DR25" s="273"/>
      <c r="DS25" s="19"/>
      <c r="DT25" s="274" t="str">
        <f ca="1">INDIRECT(ADDRESS(13,193,4,1,EF25))</f>
        <v>тур 1, встреча 3, 4 - 6</v>
      </c>
      <c r="DU25" s="275"/>
      <c r="DV25" s="275"/>
      <c r="DW25" s="275"/>
      <c r="DX25" s="275"/>
      <c r="DY25" s="275"/>
      <c r="DZ25" s="275"/>
      <c r="EA25" s="275"/>
      <c r="EB25" s="275"/>
      <c r="EC25" s="275"/>
      <c r="ED25" s="275"/>
      <c r="EE25" s="276"/>
      <c r="EF25" s="277">
        <f>EF14+1</f>
        <v>3</v>
      </c>
      <c r="EG25" s="278"/>
      <c r="EH25" s="278"/>
      <c r="EI25" s="278"/>
      <c r="EJ25" s="278"/>
      <c r="EK25" s="278"/>
      <c r="EL25" s="278"/>
      <c r="EM25" s="278"/>
      <c r="EN25" s="279"/>
      <c r="EO25" s="277" t="str">
        <f ca="1">INDIRECT(ADDRESS(11,214,4,1,EF25))</f>
        <v/>
      </c>
      <c r="EP25" s="278"/>
      <c r="EQ25" s="278"/>
      <c r="ER25" s="278"/>
      <c r="ES25" s="278"/>
      <c r="ET25" s="278"/>
      <c r="EU25" s="278"/>
      <c r="EV25" s="278"/>
      <c r="EW25" s="279"/>
    </row>
    <row r="26" spans="1:153" ht="20.25" thickTop="1" thickBot="1" x14ac:dyDescent="0.3">
      <c r="B26" s="134"/>
      <c r="C26" s="134"/>
      <c r="D26" s="134"/>
      <c r="E26" s="134"/>
      <c r="F26" s="134"/>
      <c r="G26" s="134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</row>
    <row r="27" spans="1:153" ht="30" customHeight="1" thickTop="1" thickBot="1" x14ac:dyDescent="0.3">
      <c r="B27" s="258" t="s">
        <v>23</v>
      </c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60"/>
      <c r="AM27" s="258" t="s">
        <v>23</v>
      </c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60"/>
      <c r="BX27" s="261" t="s">
        <v>27</v>
      </c>
      <c r="BY27" s="262"/>
      <c r="BZ27" s="262"/>
      <c r="CA27" s="262"/>
      <c r="CB27" s="262"/>
      <c r="CC27" s="262"/>
      <c r="CD27" s="262"/>
      <c r="CE27" s="262"/>
      <c r="CF27" s="262"/>
      <c r="CG27" s="263"/>
      <c r="CH27" s="264" t="s">
        <v>28</v>
      </c>
      <c r="CI27" s="262"/>
      <c r="CJ27" s="262"/>
      <c r="CK27" s="262"/>
      <c r="CL27" s="262"/>
      <c r="CM27" s="262"/>
      <c r="CN27" s="262"/>
      <c r="CO27" s="262"/>
      <c r="CP27" s="262"/>
      <c r="CQ27" s="263"/>
      <c r="CR27" s="264" t="s">
        <v>29</v>
      </c>
      <c r="CS27" s="262"/>
      <c r="CT27" s="262"/>
      <c r="CU27" s="262"/>
      <c r="CV27" s="262"/>
      <c r="CW27" s="262"/>
      <c r="CX27" s="262"/>
      <c r="CY27" s="262"/>
      <c r="CZ27" s="262"/>
      <c r="DA27" s="263"/>
      <c r="DB27" s="264" t="s">
        <v>30</v>
      </c>
      <c r="DC27" s="262"/>
      <c r="DD27" s="262"/>
      <c r="DE27" s="262"/>
      <c r="DF27" s="262"/>
      <c r="DG27" s="262"/>
      <c r="DH27" s="262"/>
      <c r="DI27" s="262"/>
      <c r="DJ27" s="262"/>
      <c r="DK27" s="263"/>
      <c r="DL27" s="264" t="s">
        <v>31</v>
      </c>
      <c r="DM27" s="262"/>
      <c r="DN27" s="262"/>
      <c r="DO27" s="262"/>
      <c r="DP27" s="262"/>
      <c r="DQ27" s="262"/>
      <c r="DR27" s="262"/>
      <c r="DS27" s="262"/>
      <c r="DT27" s="262"/>
      <c r="DU27" s="280"/>
      <c r="DV27" s="281" t="s">
        <v>32</v>
      </c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3"/>
      <c r="EJ27" s="281" t="s">
        <v>33</v>
      </c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3"/>
    </row>
    <row r="28" spans="1:153" ht="36" thickTop="1" x14ac:dyDescent="0.25">
      <c r="B28" s="324" t="s">
        <v>17</v>
      </c>
      <c r="C28" s="325"/>
      <c r="D28" s="325"/>
      <c r="E28" s="325"/>
      <c r="F28" s="326"/>
      <c r="G28" s="327" t="str">
        <f ca="1">INDIRECT(ADDRESS(16,34,4,1,EF25))</f>
        <v xml:space="preserve"> Осипов Владимир Владимирович</v>
      </c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9"/>
      <c r="AM28" s="324" t="s">
        <v>35</v>
      </c>
      <c r="AN28" s="325"/>
      <c r="AO28" s="325"/>
      <c r="AP28" s="325"/>
      <c r="AQ28" s="326"/>
      <c r="AR28" s="330" t="str">
        <f ca="1">INDIRECT(ADDRESS(16,92,4,1,EF25))</f>
        <v xml:space="preserve"> Длугоканский Андрей Александрович</v>
      </c>
      <c r="AS28" s="331"/>
      <c r="AT28" s="331"/>
      <c r="AU28" s="331"/>
      <c r="AV28" s="331"/>
      <c r="AW28" s="331"/>
      <c r="AX28" s="331"/>
      <c r="AY28" s="331"/>
      <c r="AZ28" s="331"/>
      <c r="BA28" s="331"/>
      <c r="BB28" s="331"/>
      <c r="BC28" s="331"/>
      <c r="BD28" s="331"/>
      <c r="BE28" s="331"/>
      <c r="BF28" s="331"/>
      <c r="BG28" s="331"/>
      <c r="BH28" s="331"/>
      <c r="BI28" s="331"/>
      <c r="BJ28" s="331"/>
      <c r="BK28" s="331"/>
      <c r="BL28" s="331"/>
      <c r="BM28" s="331"/>
      <c r="BN28" s="331"/>
      <c r="BO28" s="331"/>
      <c r="BP28" s="331"/>
      <c r="BQ28" s="331"/>
      <c r="BR28" s="331"/>
      <c r="BS28" s="331"/>
      <c r="BT28" s="331"/>
      <c r="BU28" s="331"/>
      <c r="BV28" s="331"/>
      <c r="BW28" s="332"/>
      <c r="BX28" s="333">
        <f ca="1">INDIRECT(ADDRESS(16,145,4,1,EF25))</f>
        <v>3</v>
      </c>
      <c r="BY28" s="320"/>
      <c r="BZ28" s="320"/>
      <c r="CA28" s="320"/>
      <c r="CB28" s="314" t="str">
        <f ca="1">IF(BX28="","","-")</f>
        <v>-</v>
      </c>
      <c r="CC28" s="314"/>
      <c r="CD28" s="320">
        <f ca="1">INDIRECT(ADDRESS(16,151,4,1,EF25))</f>
        <v>11</v>
      </c>
      <c r="CE28" s="320"/>
      <c r="CF28" s="320"/>
      <c r="CG28" s="321"/>
      <c r="CH28" s="322">
        <f ca="1">INDIRECT(ADDRESS(16,155,4,1,EF25))</f>
        <v>2</v>
      </c>
      <c r="CI28" s="320"/>
      <c r="CJ28" s="320"/>
      <c r="CK28" s="320"/>
      <c r="CL28" s="323" t="str">
        <f ca="1">IF(CH28="","","-")</f>
        <v>-</v>
      </c>
      <c r="CM28" s="323"/>
      <c r="CN28" s="320">
        <f ca="1">INDIRECT(ADDRESS(16,161,4,1,EF25))</f>
        <v>11</v>
      </c>
      <c r="CO28" s="320"/>
      <c r="CP28" s="320"/>
      <c r="CQ28" s="321"/>
      <c r="CR28" s="322">
        <f ca="1">INDIRECT(ADDRESS(16,165,4,1,EF25))</f>
        <v>11</v>
      </c>
      <c r="CS28" s="320"/>
      <c r="CT28" s="320"/>
      <c r="CU28" s="320"/>
      <c r="CV28" s="323" t="str">
        <f ca="1">IF(CR28="","","-")</f>
        <v>-</v>
      </c>
      <c r="CW28" s="323"/>
      <c r="CX28" s="320">
        <f ca="1">INDIRECT(ADDRESS(16,171,4,1,EF25))</f>
        <v>13</v>
      </c>
      <c r="CY28" s="320"/>
      <c r="CZ28" s="320"/>
      <c r="DA28" s="321"/>
      <c r="DB28" s="322" t="str">
        <f ca="1">INDIRECT(ADDRESS(16,175,4,1,EF25))</f>
        <v/>
      </c>
      <c r="DC28" s="320"/>
      <c r="DD28" s="320"/>
      <c r="DE28" s="320"/>
      <c r="DF28" s="323" t="str">
        <f ca="1">IF(DB28="","","-")</f>
        <v/>
      </c>
      <c r="DG28" s="323"/>
      <c r="DH28" s="320" t="str">
        <f ca="1">INDIRECT(ADDRESS(16,181,4,1,EF25))</f>
        <v/>
      </c>
      <c r="DI28" s="320"/>
      <c r="DJ28" s="320"/>
      <c r="DK28" s="321"/>
      <c r="DL28" s="257" t="str">
        <f ca="1">INDIRECT(ADDRESS(16,185,4,1,EF25))</f>
        <v/>
      </c>
      <c r="DM28" s="255"/>
      <c r="DN28" s="255"/>
      <c r="DO28" s="255"/>
      <c r="DP28" s="254" t="str">
        <f ca="1">IF(DL28="","","-")</f>
        <v/>
      </c>
      <c r="DQ28" s="254"/>
      <c r="DR28" s="255" t="str">
        <f ca="1">INDIRECT(ADDRESS(16,191,4,1,EF25))</f>
        <v/>
      </c>
      <c r="DS28" s="255"/>
      <c r="DT28" s="255"/>
      <c r="DU28" s="302"/>
      <c r="DV28" s="309">
        <f ca="1">INDIRECT(ADDRESS(16,195,4,1,EF25))</f>
        <v>0</v>
      </c>
      <c r="DW28" s="310"/>
      <c r="DX28" s="310"/>
      <c r="DY28" s="310"/>
      <c r="DZ28" s="310"/>
      <c r="EA28" s="310"/>
      <c r="EB28" s="311"/>
      <c r="EC28" s="312">
        <f ca="1">INDIRECT(ADDRESS(16,202,4,1,EF25))</f>
        <v>3</v>
      </c>
      <c r="ED28" s="310"/>
      <c r="EE28" s="310"/>
      <c r="EF28" s="310"/>
      <c r="EG28" s="310"/>
      <c r="EH28" s="310"/>
      <c r="EI28" s="313"/>
      <c r="EJ28" s="315">
        <f ca="1">INDIRECT(ADDRESS(16,209,4,1,EF25))</f>
        <v>0</v>
      </c>
      <c r="EK28" s="316"/>
      <c r="EL28" s="316"/>
      <c r="EM28" s="316"/>
      <c r="EN28" s="316"/>
      <c r="EO28" s="316"/>
      <c r="EP28" s="317"/>
      <c r="EQ28" s="318">
        <f ca="1">INDIRECT(ADDRESS(16,216,4,1,EF25))</f>
        <v>1</v>
      </c>
      <c r="ER28" s="316"/>
      <c r="ES28" s="316"/>
      <c r="ET28" s="316"/>
      <c r="EU28" s="316"/>
      <c r="EV28" s="316"/>
      <c r="EW28" s="319"/>
    </row>
    <row r="29" spans="1:153" ht="35.25" customHeight="1" x14ac:dyDescent="0.25">
      <c r="B29" s="305" t="s">
        <v>18</v>
      </c>
      <c r="C29" s="306"/>
      <c r="D29" s="306"/>
      <c r="E29" s="306"/>
      <c r="F29" s="307"/>
      <c r="G29" s="298" t="str">
        <f ca="1">INDIRECT(ADDRESS(17,34,4,1,EF25))</f>
        <v xml:space="preserve"> Горелкин Анатолий Николаевич</v>
      </c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300"/>
      <c r="AM29" s="305" t="s">
        <v>34</v>
      </c>
      <c r="AN29" s="306"/>
      <c r="AO29" s="306"/>
      <c r="AP29" s="306"/>
      <c r="AQ29" s="307"/>
      <c r="AR29" s="298" t="str">
        <f ca="1">INDIRECT(ADDRESS(17,92,4,1,EF25))</f>
        <v xml:space="preserve"> Полтев Данил Сергеевич</v>
      </c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300"/>
      <c r="BX29" s="301">
        <f ca="1">INDIRECT(ADDRESS(17,145,4,1,EF25))</f>
        <v>11</v>
      </c>
      <c r="BY29" s="255"/>
      <c r="BZ29" s="255"/>
      <c r="CA29" s="255"/>
      <c r="CB29" s="297" t="str">
        <f ca="1">IF(BX29="","","-")</f>
        <v>-</v>
      </c>
      <c r="CC29" s="297"/>
      <c r="CD29" s="255">
        <f ca="1">INDIRECT(ADDRESS(17,151,4,1,EF25))</f>
        <v>8</v>
      </c>
      <c r="CE29" s="255"/>
      <c r="CF29" s="255"/>
      <c r="CG29" s="256"/>
      <c r="CH29" s="257">
        <f ca="1">INDIRECT(ADDRESS(17,155,4,1,EF25))</f>
        <v>18</v>
      </c>
      <c r="CI29" s="255"/>
      <c r="CJ29" s="255"/>
      <c r="CK29" s="255"/>
      <c r="CL29" s="254" t="str">
        <f ca="1">IF(CH29="","","-")</f>
        <v>-</v>
      </c>
      <c r="CM29" s="254"/>
      <c r="CN29" s="255">
        <f ca="1">INDIRECT(ADDRESS(17,161,4,1,EF25))</f>
        <v>16</v>
      </c>
      <c r="CO29" s="255"/>
      <c r="CP29" s="255"/>
      <c r="CQ29" s="256"/>
      <c r="CR29" s="257">
        <f ca="1">INDIRECT(ADDRESS(17,165,4,1,EF25))</f>
        <v>8</v>
      </c>
      <c r="CS29" s="255"/>
      <c r="CT29" s="255"/>
      <c r="CU29" s="255"/>
      <c r="CV29" s="254" t="str">
        <f ca="1">IF(CR29="","","-")</f>
        <v>-</v>
      </c>
      <c r="CW29" s="254"/>
      <c r="CX29" s="255">
        <f ca="1">INDIRECT(ADDRESS(17,171,4,1,EF25))</f>
        <v>11</v>
      </c>
      <c r="CY29" s="255"/>
      <c r="CZ29" s="255"/>
      <c r="DA29" s="256"/>
      <c r="DB29" s="257">
        <f ca="1">INDIRECT(ADDRESS(17,175,4,1,EF25))</f>
        <v>7</v>
      </c>
      <c r="DC29" s="255"/>
      <c r="DD29" s="255"/>
      <c r="DE29" s="255"/>
      <c r="DF29" s="254" t="str">
        <f ca="1">IF(DB29="","","-")</f>
        <v>-</v>
      </c>
      <c r="DG29" s="254"/>
      <c r="DH29" s="255">
        <f ca="1">INDIRECT(ADDRESS(17,181,4,1,EF25))</f>
        <v>11</v>
      </c>
      <c r="DI29" s="255"/>
      <c r="DJ29" s="255"/>
      <c r="DK29" s="256"/>
      <c r="DL29" s="257">
        <f ca="1">INDIRECT(ADDRESS(17,185,4,1,EF25))</f>
        <v>2</v>
      </c>
      <c r="DM29" s="255"/>
      <c r="DN29" s="255"/>
      <c r="DO29" s="255"/>
      <c r="DP29" s="254" t="str">
        <f ca="1">IF(DL29="","","-")</f>
        <v>-</v>
      </c>
      <c r="DQ29" s="254"/>
      <c r="DR29" s="255">
        <f ca="1">INDIRECT(ADDRESS(17,191,4,1,EF25))</f>
        <v>11</v>
      </c>
      <c r="DS29" s="255"/>
      <c r="DT29" s="255"/>
      <c r="DU29" s="302"/>
      <c r="DV29" s="303">
        <f ca="1">INDIRECT(ADDRESS(17,195,4,1,EF25))</f>
        <v>2</v>
      </c>
      <c r="DW29" s="247"/>
      <c r="DX29" s="247"/>
      <c r="DY29" s="247"/>
      <c r="DZ29" s="247"/>
      <c r="EA29" s="247"/>
      <c r="EB29" s="304"/>
      <c r="EC29" s="246">
        <f ca="1">INDIRECT(ADDRESS(17,202,4,1,EF25))</f>
        <v>3</v>
      </c>
      <c r="ED29" s="247"/>
      <c r="EE29" s="247"/>
      <c r="EF29" s="247"/>
      <c r="EG29" s="247"/>
      <c r="EH29" s="247"/>
      <c r="EI29" s="248"/>
      <c r="EJ29" s="249">
        <f ca="1">INDIRECT(ADDRESS(17,209,4,1,EF25))</f>
        <v>0</v>
      </c>
      <c r="EK29" s="250"/>
      <c r="EL29" s="250"/>
      <c r="EM29" s="250"/>
      <c r="EN29" s="250"/>
      <c r="EO29" s="250"/>
      <c r="EP29" s="251"/>
      <c r="EQ29" s="252">
        <f ca="1">INDIRECT(ADDRESS(17,216,4,1,EF25))</f>
        <v>1</v>
      </c>
      <c r="ER29" s="250"/>
      <c r="ES29" s="250"/>
      <c r="ET29" s="250"/>
      <c r="EU29" s="250"/>
      <c r="EV29" s="250"/>
      <c r="EW29" s="253"/>
    </row>
    <row r="30" spans="1:153" ht="35.25" x14ac:dyDescent="0.25">
      <c r="B30" s="305" t="s">
        <v>36</v>
      </c>
      <c r="C30" s="306"/>
      <c r="D30" s="306"/>
      <c r="E30" s="306"/>
      <c r="F30" s="307"/>
      <c r="G30" s="298" t="str">
        <f ca="1">INDIRECT(ADDRESS(18,34,4,1,EF25))</f>
        <v/>
      </c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308"/>
      <c r="AM30" s="305" t="s">
        <v>37</v>
      </c>
      <c r="AN30" s="306"/>
      <c r="AO30" s="306"/>
      <c r="AP30" s="306"/>
      <c r="AQ30" s="307"/>
      <c r="AR30" s="298" t="str">
        <f ca="1">INDIRECT(ADDRESS(18,92,4,1,EF25))</f>
        <v xml:space="preserve"> Ткаченко Владимир Михайлович</v>
      </c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300"/>
      <c r="BX30" s="301">
        <f ca="1">INDIRECT(ADDRESS(18,145,4,1,EF25))</f>
        <v>0</v>
      </c>
      <c r="BY30" s="255"/>
      <c r="BZ30" s="255"/>
      <c r="CA30" s="255"/>
      <c r="CB30" s="297" t="str">
        <f ca="1">IF(BX30="","","-")</f>
        <v>-</v>
      </c>
      <c r="CC30" s="297"/>
      <c r="CD30" s="255">
        <f ca="1">INDIRECT(ADDRESS(18,151,4,1,EF25))</f>
        <v>11</v>
      </c>
      <c r="CE30" s="255"/>
      <c r="CF30" s="255"/>
      <c r="CG30" s="256"/>
      <c r="CH30" s="257">
        <f ca="1">INDIRECT(ADDRESS(18,155,4,1,EF25))</f>
        <v>0</v>
      </c>
      <c r="CI30" s="255"/>
      <c r="CJ30" s="255"/>
      <c r="CK30" s="255"/>
      <c r="CL30" s="254" t="str">
        <f ca="1">IF(CH30="","","-")</f>
        <v>-</v>
      </c>
      <c r="CM30" s="254"/>
      <c r="CN30" s="255">
        <f ca="1">INDIRECT(ADDRESS(18,161,4,1,EF25))</f>
        <v>11</v>
      </c>
      <c r="CO30" s="255"/>
      <c r="CP30" s="255"/>
      <c r="CQ30" s="256"/>
      <c r="CR30" s="257">
        <f ca="1">INDIRECT(ADDRESS(18,165,4,1,EF25))</f>
        <v>0</v>
      </c>
      <c r="CS30" s="255"/>
      <c r="CT30" s="255"/>
      <c r="CU30" s="255"/>
      <c r="CV30" s="254" t="str">
        <f ca="1">IF(CR30="","","-")</f>
        <v>-</v>
      </c>
      <c r="CW30" s="254"/>
      <c r="CX30" s="255">
        <f ca="1">INDIRECT(ADDRESS(18,171,4,1,EF25))</f>
        <v>11</v>
      </c>
      <c r="CY30" s="255"/>
      <c r="CZ30" s="255"/>
      <c r="DA30" s="256"/>
      <c r="DB30" s="257" t="str">
        <f ca="1">INDIRECT(ADDRESS(18,175,4,1,EF25))</f>
        <v/>
      </c>
      <c r="DC30" s="255"/>
      <c r="DD30" s="255"/>
      <c r="DE30" s="255"/>
      <c r="DF30" s="254" t="str">
        <f ca="1">IF(DB30="","","-")</f>
        <v/>
      </c>
      <c r="DG30" s="254"/>
      <c r="DH30" s="255" t="str">
        <f ca="1">INDIRECT(ADDRESS(18,181,4,1,EF25))</f>
        <v/>
      </c>
      <c r="DI30" s="255"/>
      <c r="DJ30" s="255"/>
      <c r="DK30" s="256"/>
      <c r="DL30" s="257" t="str">
        <f ca="1">INDIRECT(ADDRESS(18,185,4,1,EF25))</f>
        <v/>
      </c>
      <c r="DM30" s="255"/>
      <c r="DN30" s="255"/>
      <c r="DO30" s="255"/>
      <c r="DP30" s="254" t="str">
        <f ca="1">IF(DL30="","","-")</f>
        <v/>
      </c>
      <c r="DQ30" s="254"/>
      <c r="DR30" s="255" t="str">
        <f ca="1">INDIRECT(ADDRESS(18,191,4,1,EF25))</f>
        <v/>
      </c>
      <c r="DS30" s="255"/>
      <c r="DT30" s="255"/>
      <c r="DU30" s="302"/>
      <c r="DV30" s="303">
        <f ca="1">INDIRECT(ADDRESS(18,195,4,1,EF25))</f>
        <v>0</v>
      </c>
      <c r="DW30" s="247"/>
      <c r="DX30" s="247"/>
      <c r="DY30" s="247"/>
      <c r="DZ30" s="247"/>
      <c r="EA30" s="247"/>
      <c r="EB30" s="304"/>
      <c r="EC30" s="246">
        <f ca="1">INDIRECT(ADDRESS(18,202,4,1,EF25))</f>
        <v>3</v>
      </c>
      <c r="ED30" s="247"/>
      <c r="EE30" s="247"/>
      <c r="EF30" s="247"/>
      <c r="EG30" s="247"/>
      <c r="EH30" s="247"/>
      <c r="EI30" s="248"/>
      <c r="EJ30" s="249">
        <f ca="1">INDIRECT(ADDRESS(18,209,4,1,EF25))</f>
        <v>0</v>
      </c>
      <c r="EK30" s="250"/>
      <c r="EL30" s="250"/>
      <c r="EM30" s="250"/>
      <c r="EN30" s="250"/>
      <c r="EO30" s="250"/>
      <c r="EP30" s="251"/>
      <c r="EQ30" s="252">
        <f ca="1">INDIRECT(ADDRESS(18,216,4,1,EF25))</f>
        <v>1</v>
      </c>
      <c r="ER30" s="250"/>
      <c r="ES30" s="250"/>
      <c r="ET30" s="250"/>
      <c r="EU30" s="250"/>
      <c r="EV30" s="250"/>
      <c r="EW30" s="253"/>
    </row>
    <row r="31" spans="1:153" ht="35.25" x14ac:dyDescent="0.25">
      <c r="B31" s="305" t="s">
        <v>17</v>
      </c>
      <c r="C31" s="306"/>
      <c r="D31" s="306"/>
      <c r="E31" s="306"/>
      <c r="F31" s="307"/>
      <c r="G31" s="298" t="str">
        <f ca="1">INDIRECT(ADDRESS(19,34,4,1,EF25))</f>
        <v xml:space="preserve"> Осипов Владимир Владимирович</v>
      </c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308"/>
      <c r="AM31" s="305" t="s">
        <v>34</v>
      </c>
      <c r="AN31" s="306"/>
      <c r="AO31" s="306"/>
      <c r="AP31" s="306"/>
      <c r="AQ31" s="307"/>
      <c r="AR31" s="298" t="str">
        <f ca="1">INDIRECT(ADDRESS(19,92,4,1,EF25))</f>
        <v xml:space="preserve"> Полтев Данил Сергеевич</v>
      </c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300"/>
      <c r="BX31" s="301" t="str">
        <f ca="1">INDIRECT(ADDRESS(19,145,4,1,EF25))</f>
        <v/>
      </c>
      <c r="BY31" s="255"/>
      <c r="BZ31" s="255"/>
      <c r="CA31" s="255"/>
      <c r="CB31" s="297" t="str">
        <f ca="1">IF(BX31="","","-")</f>
        <v/>
      </c>
      <c r="CC31" s="297"/>
      <c r="CD31" s="255" t="str">
        <f ca="1">INDIRECT(ADDRESS(19,151,4,1,EF25))</f>
        <v/>
      </c>
      <c r="CE31" s="255"/>
      <c r="CF31" s="255"/>
      <c r="CG31" s="256"/>
      <c r="CH31" s="257" t="str">
        <f ca="1">INDIRECT(ADDRESS(19,155,4,1,EF25))</f>
        <v/>
      </c>
      <c r="CI31" s="255"/>
      <c r="CJ31" s="255"/>
      <c r="CK31" s="255"/>
      <c r="CL31" s="254" t="str">
        <f ca="1">IF(CH31="","","-")</f>
        <v/>
      </c>
      <c r="CM31" s="254"/>
      <c r="CN31" s="255" t="str">
        <f ca="1">INDIRECT(ADDRESS(19,161,4,1,EF25))</f>
        <v/>
      </c>
      <c r="CO31" s="255"/>
      <c r="CP31" s="255"/>
      <c r="CQ31" s="256"/>
      <c r="CR31" s="257" t="str">
        <f ca="1">INDIRECT(ADDRESS(19,165,4,1,EF25))</f>
        <v/>
      </c>
      <c r="CS31" s="255"/>
      <c r="CT31" s="255"/>
      <c r="CU31" s="255"/>
      <c r="CV31" s="254" t="str">
        <f ca="1">IF(CR31="","","-")</f>
        <v/>
      </c>
      <c r="CW31" s="254"/>
      <c r="CX31" s="255" t="str">
        <f ca="1">INDIRECT(ADDRESS(19,171,4,1,EF25))</f>
        <v/>
      </c>
      <c r="CY31" s="255"/>
      <c r="CZ31" s="255"/>
      <c r="DA31" s="256"/>
      <c r="DB31" s="257" t="str">
        <f ca="1">INDIRECT(ADDRESS(19,175,4,1,EF25))</f>
        <v/>
      </c>
      <c r="DC31" s="255"/>
      <c r="DD31" s="255"/>
      <c r="DE31" s="255"/>
      <c r="DF31" s="254" t="str">
        <f ca="1">IF(DB31="","","-")</f>
        <v/>
      </c>
      <c r="DG31" s="254"/>
      <c r="DH31" s="255" t="str">
        <f ca="1">INDIRECT(ADDRESS(19,181,4,1,EF25))</f>
        <v/>
      </c>
      <c r="DI31" s="255"/>
      <c r="DJ31" s="255"/>
      <c r="DK31" s="256"/>
      <c r="DL31" s="257" t="str">
        <f ca="1">INDIRECT(ADDRESS(19,185,4,1,EF25))</f>
        <v/>
      </c>
      <c r="DM31" s="255"/>
      <c r="DN31" s="255"/>
      <c r="DO31" s="255"/>
      <c r="DP31" s="254" t="str">
        <f ca="1">IF(DL31="","","-")</f>
        <v/>
      </c>
      <c r="DQ31" s="254"/>
      <c r="DR31" s="255" t="str">
        <f ca="1">INDIRECT(ADDRESS(19,191,4,1,EF25))</f>
        <v/>
      </c>
      <c r="DS31" s="255"/>
      <c r="DT31" s="255"/>
      <c r="DU31" s="302"/>
      <c r="DV31" s="303" t="str">
        <f ca="1">INDIRECT(ADDRESS(19,195,4,1,EF25))</f>
        <v/>
      </c>
      <c r="DW31" s="247"/>
      <c r="DX31" s="247"/>
      <c r="DY31" s="247"/>
      <c r="DZ31" s="247"/>
      <c r="EA31" s="247"/>
      <c r="EB31" s="304"/>
      <c r="EC31" s="246" t="str">
        <f ca="1">INDIRECT(ADDRESS(19,202,4,1,EF25))</f>
        <v/>
      </c>
      <c r="ED31" s="247"/>
      <c r="EE31" s="247"/>
      <c r="EF31" s="247"/>
      <c r="EG31" s="247"/>
      <c r="EH31" s="247"/>
      <c r="EI31" s="248"/>
      <c r="EJ31" s="249" t="str">
        <f ca="1">INDIRECT(ADDRESS(19,209,4,1,EF25))</f>
        <v/>
      </c>
      <c r="EK31" s="250"/>
      <c r="EL31" s="250"/>
      <c r="EM31" s="250"/>
      <c r="EN31" s="250"/>
      <c r="EO31" s="250"/>
      <c r="EP31" s="251"/>
      <c r="EQ31" s="252" t="str">
        <f ca="1">INDIRECT(ADDRESS(19,216,4,1,EF25))</f>
        <v/>
      </c>
      <c r="ER31" s="250"/>
      <c r="ES31" s="250"/>
      <c r="ET31" s="250"/>
      <c r="EU31" s="250"/>
      <c r="EV31" s="250"/>
      <c r="EW31" s="253"/>
    </row>
    <row r="32" spans="1:153" ht="36" thickBot="1" x14ac:dyDescent="0.3">
      <c r="B32" s="290" t="s">
        <v>18</v>
      </c>
      <c r="C32" s="291"/>
      <c r="D32" s="291"/>
      <c r="E32" s="291"/>
      <c r="F32" s="292"/>
      <c r="G32" s="293" t="str">
        <f ca="1">INDIRECT(ADDRESS(20,34,4,1,EF25))</f>
        <v xml:space="preserve"> Горелкин Анатолий Николаевич</v>
      </c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5"/>
      <c r="AM32" s="290" t="s">
        <v>35</v>
      </c>
      <c r="AN32" s="291"/>
      <c r="AO32" s="291"/>
      <c r="AP32" s="291"/>
      <c r="AQ32" s="292"/>
      <c r="AR32" s="293" t="str">
        <f ca="1">INDIRECT(ADDRESS(20,92,4,1,EF25))</f>
        <v xml:space="preserve"> Длугоканский Андрей Александрович</v>
      </c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6"/>
      <c r="BX32" s="244" t="str">
        <f ca="1">INDIRECT(ADDRESS(20,145,4,1,EF25))</f>
        <v/>
      </c>
      <c r="BY32" s="233"/>
      <c r="BZ32" s="233"/>
      <c r="CA32" s="233"/>
      <c r="CB32" s="245" t="str">
        <f ca="1">IF(BX32="","","-")</f>
        <v/>
      </c>
      <c r="CC32" s="245"/>
      <c r="CD32" s="233" t="str">
        <f ca="1">INDIRECT(ADDRESS(20,151,4,1,EF25))</f>
        <v/>
      </c>
      <c r="CE32" s="233"/>
      <c r="CF32" s="233"/>
      <c r="CG32" s="243"/>
      <c r="CH32" s="232" t="str">
        <f ca="1">INDIRECT(ADDRESS(20,155,4,1,EF25))</f>
        <v/>
      </c>
      <c r="CI32" s="233"/>
      <c r="CJ32" s="233"/>
      <c r="CK32" s="233"/>
      <c r="CL32" s="234" t="str">
        <f ca="1">IF(CH32="","","-")</f>
        <v/>
      </c>
      <c r="CM32" s="234"/>
      <c r="CN32" s="233" t="str">
        <f ca="1">INDIRECT(ADDRESS(20,161,4,1,EF25))</f>
        <v/>
      </c>
      <c r="CO32" s="233"/>
      <c r="CP32" s="233"/>
      <c r="CQ32" s="243"/>
      <c r="CR32" s="232" t="str">
        <f ca="1">INDIRECT(ADDRESS(20,165,4,1,EF25))</f>
        <v/>
      </c>
      <c r="CS32" s="233"/>
      <c r="CT32" s="233"/>
      <c r="CU32" s="233"/>
      <c r="CV32" s="234" t="str">
        <f ca="1">IF(CR32="","","-")</f>
        <v/>
      </c>
      <c r="CW32" s="234"/>
      <c r="CX32" s="233" t="str">
        <f ca="1">INDIRECT(ADDRESS(20,171,4,1,EF25))</f>
        <v/>
      </c>
      <c r="CY32" s="233"/>
      <c r="CZ32" s="233"/>
      <c r="DA32" s="243"/>
      <c r="DB32" s="232" t="str">
        <f ca="1">INDIRECT(ADDRESS(20,175,4,1,EF25))</f>
        <v/>
      </c>
      <c r="DC32" s="233"/>
      <c r="DD32" s="233"/>
      <c r="DE32" s="233"/>
      <c r="DF32" s="234" t="str">
        <f ca="1">IF(DB32="","","-")</f>
        <v/>
      </c>
      <c r="DG32" s="234"/>
      <c r="DH32" s="233" t="str">
        <f ca="1">INDIRECT(ADDRESS(20,181,4,1,EF25))</f>
        <v/>
      </c>
      <c r="DI32" s="233"/>
      <c r="DJ32" s="233"/>
      <c r="DK32" s="243"/>
      <c r="DL32" s="232" t="str">
        <f ca="1">INDIRECT(ADDRESS(20,185,4,1,EF25))</f>
        <v/>
      </c>
      <c r="DM32" s="233"/>
      <c r="DN32" s="233"/>
      <c r="DO32" s="233"/>
      <c r="DP32" s="234" t="str">
        <f ca="1">IF(DL32="","","-")</f>
        <v/>
      </c>
      <c r="DQ32" s="234"/>
      <c r="DR32" s="233" t="str">
        <f ca="1">INDIRECT(ADDRESS(20,191,4,1,EF25))</f>
        <v/>
      </c>
      <c r="DS32" s="233"/>
      <c r="DT32" s="233"/>
      <c r="DU32" s="235"/>
      <c r="DV32" s="236" t="str">
        <f ca="1">INDIRECT(ADDRESS(20,195,4,1,EF25))</f>
        <v/>
      </c>
      <c r="DW32" s="237"/>
      <c r="DX32" s="237"/>
      <c r="DY32" s="237"/>
      <c r="DZ32" s="237"/>
      <c r="EA32" s="237"/>
      <c r="EB32" s="238"/>
      <c r="EC32" s="239" t="str">
        <f ca="1">INDIRECT(ADDRESS(20,202,4,1,EF25))</f>
        <v/>
      </c>
      <c r="ED32" s="237"/>
      <c r="EE32" s="237"/>
      <c r="EF32" s="237"/>
      <c r="EG32" s="237"/>
      <c r="EH32" s="237"/>
      <c r="EI32" s="240"/>
      <c r="EJ32" s="241" t="str">
        <f ca="1">INDIRECT(ADDRESS(20,209,4,1,EF25))</f>
        <v/>
      </c>
      <c r="EK32" s="217"/>
      <c r="EL32" s="217"/>
      <c r="EM32" s="217"/>
      <c r="EN32" s="217"/>
      <c r="EO32" s="217"/>
      <c r="EP32" s="242"/>
      <c r="EQ32" s="216" t="str">
        <f ca="1">INDIRECT(ADDRESS(20,216,4,1,EF25))</f>
        <v/>
      </c>
      <c r="ER32" s="217"/>
      <c r="ES32" s="217"/>
      <c r="ET32" s="217"/>
      <c r="EU32" s="217"/>
      <c r="EV32" s="217"/>
      <c r="EW32" s="218"/>
    </row>
    <row r="33" spans="1:153" ht="36.75" thickTop="1" thickBot="1" x14ac:dyDescent="0.3">
      <c r="B33" s="219" t="s">
        <v>38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20" t="str">
        <f ca="1">INDIRECT(ADDRESS(21,87,4,1,EF25))</f>
        <v>«Дрим Тим» г.Симферополь</v>
      </c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0"/>
      <c r="CO33" s="220"/>
      <c r="CP33" s="220"/>
      <c r="CQ33" s="220"/>
      <c r="CR33" s="220"/>
      <c r="CS33" s="220"/>
      <c r="CT33" s="220"/>
      <c r="CU33" s="220"/>
      <c r="CV33" s="220"/>
      <c r="CW33" s="220"/>
      <c r="CX33" s="220"/>
      <c r="CY33" s="220"/>
      <c r="CZ33" s="220"/>
      <c r="DA33" s="220"/>
      <c r="DB33" s="220"/>
      <c r="DC33" s="220"/>
      <c r="DD33" s="220"/>
      <c r="DE33" s="220"/>
      <c r="DF33" s="220"/>
      <c r="DG33" s="220"/>
      <c r="DH33" s="220"/>
      <c r="DI33" s="220"/>
      <c r="DJ33" s="220"/>
      <c r="DK33" s="220"/>
      <c r="DL33" s="220"/>
      <c r="DM33" s="220"/>
      <c r="DN33" s="220"/>
      <c r="DO33" s="220"/>
      <c r="DP33" s="220"/>
      <c r="DQ33" s="220"/>
      <c r="DR33" s="220"/>
      <c r="DS33" s="220"/>
      <c r="DT33" s="220"/>
      <c r="DU33" s="220"/>
      <c r="DV33" s="221">
        <f ca="1">INDIRECT(ADDRESS(21,195,4,1,EF25))</f>
        <v>2</v>
      </c>
      <c r="DW33" s="222"/>
      <c r="DX33" s="222"/>
      <c r="DY33" s="222"/>
      <c r="DZ33" s="222"/>
      <c r="EA33" s="222"/>
      <c r="EB33" s="223"/>
      <c r="EC33" s="224">
        <f ca="1">INDIRECT(ADDRESS(21,202,4,1,EF25))</f>
        <v>9</v>
      </c>
      <c r="ED33" s="225"/>
      <c r="EE33" s="225"/>
      <c r="EF33" s="225"/>
      <c r="EG33" s="225"/>
      <c r="EH33" s="225"/>
      <c r="EI33" s="226"/>
      <c r="EJ33" s="227">
        <f ca="1">INDIRECT(ADDRESS(21,209,4,1,EF25))</f>
        <v>0</v>
      </c>
      <c r="EK33" s="228"/>
      <c r="EL33" s="228"/>
      <c r="EM33" s="228"/>
      <c r="EN33" s="228"/>
      <c r="EO33" s="228"/>
      <c r="EP33" s="229"/>
      <c r="EQ33" s="230">
        <f ca="1">INDIRECT(ADDRESS(21,216,4,1,EF25))</f>
        <v>3</v>
      </c>
      <c r="ER33" s="228"/>
      <c r="ES33" s="228"/>
      <c r="ET33" s="228"/>
      <c r="EU33" s="228"/>
      <c r="EV33" s="228"/>
      <c r="EW33" s="231"/>
    </row>
    <row r="34" spans="1:153" ht="16.5" thickTop="1" thickBot="1" x14ac:dyDescent="0.3">
      <c r="A34" s="132"/>
    </row>
    <row r="35" spans="1:153" ht="21.75" thickTop="1" thickBot="1" x14ac:dyDescent="0.3">
      <c r="B35" s="284" t="s">
        <v>12</v>
      </c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4" t="s">
        <v>95</v>
      </c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6"/>
      <c r="BX35" s="26"/>
      <c r="BY35" s="287" t="s">
        <v>13</v>
      </c>
      <c r="BZ35" s="288"/>
      <c r="CA35" s="288"/>
      <c r="CB35" s="288"/>
      <c r="CC35" s="288"/>
      <c r="CD35" s="288"/>
      <c r="CE35" s="288"/>
      <c r="CF35" s="288"/>
      <c r="CG35" s="288"/>
      <c r="CH35" s="288"/>
      <c r="CI35" s="288"/>
      <c r="CJ35" s="288"/>
      <c r="CK35" s="288"/>
      <c r="CL35" s="288"/>
      <c r="CM35" s="288"/>
      <c r="CN35" s="288"/>
      <c r="CO35" s="288"/>
      <c r="CP35" s="288"/>
      <c r="CQ35" s="288"/>
      <c r="CR35" s="288"/>
      <c r="CS35" s="288"/>
      <c r="CT35" s="288"/>
      <c r="CU35" s="288"/>
      <c r="CV35" s="288"/>
      <c r="CW35" s="288"/>
      <c r="CX35" s="288"/>
      <c r="CY35" s="288"/>
      <c r="CZ35" s="288"/>
      <c r="DA35" s="288"/>
      <c r="DB35" s="288"/>
      <c r="DC35" s="288"/>
      <c r="DD35" s="288"/>
      <c r="DE35" s="288"/>
      <c r="DF35" s="288"/>
      <c r="DG35" s="288"/>
      <c r="DH35" s="288"/>
      <c r="DI35" s="288"/>
      <c r="DJ35" s="288"/>
      <c r="DK35" s="288"/>
      <c r="DL35" s="288"/>
      <c r="DM35" s="288"/>
      <c r="DN35" s="288"/>
      <c r="DO35" s="288"/>
      <c r="DP35" s="288"/>
      <c r="DQ35" s="288"/>
      <c r="DR35" s="289"/>
      <c r="DS35" s="19"/>
      <c r="DT35" s="265" t="s">
        <v>21</v>
      </c>
      <c r="DU35" s="266"/>
      <c r="DV35" s="266"/>
      <c r="DW35" s="266"/>
      <c r="DX35" s="266"/>
      <c r="DY35" s="266"/>
      <c r="DZ35" s="266"/>
      <c r="EA35" s="266"/>
      <c r="EB35" s="266"/>
      <c r="EC35" s="266"/>
      <c r="ED35" s="266"/>
      <c r="EE35" s="267"/>
      <c r="EF35" s="265" t="s">
        <v>22</v>
      </c>
      <c r="EG35" s="266"/>
      <c r="EH35" s="266"/>
      <c r="EI35" s="266"/>
      <c r="EJ35" s="266"/>
      <c r="EK35" s="266"/>
      <c r="EL35" s="266"/>
      <c r="EM35" s="266"/>
      <c r="EN35" s="267"/>
      <c r="EO35" s="265" t="s">
        <v>16</v>
      </c>
      <c r="EP35" s="266"/>
      <c r="EQ35" s="266"/>
      <c r="ER35" s="266"/>
      <c r="ES35" s="266"/>
      <c r="ET35" s="266"/>
      <c r="EU35" s="266"/>
      <c r="EV35" s="266"/>
      <c r="EW35" s="267"/>
    </row>
    <row r="36" spans="1:153" ht="30.75" customHeight="1" thickBot="1" x14ac:dyDescent="0.3">
      <c r="B36" s="268" t="str">
        <f ca="1">INDIRECT(ADDRESS(11,29,4,1,EF36))</f>
        <v>"Спортшкола - Юноши" г.Ялта</v>
      </c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8" t="str">
        <f ca="1">INDIRECT(ADDRESS(11,87,4,1,EF36))</f>
        <v>"РУСИЧИ" г.Симферополь</v>
      </c>
      <c r="AN36" s="269"/>
      <c r="AO36" s="269"/>
      <c r="AP36" s="269"/>
      <c r="AQ36" s="269"/>
      <c r="AR36" s="269"/>
      <c r="AS36" s="269"/>
      <c r="AT36" s="269"/>
      <c r="AU36" s="269"/>
      <c r="AV36" s="269"/>
      <c r="AW36" s="269"/>
      <c r="AX36" s="269"/>
      <c r="AY36" s="269"/>
      <c r="AZ36" s="269"/>
      <c r="BA36" s="269"/>
      <c r="BB36" s="269"/>
      <c r="BC36" s="269"/>
      <c r="BD36" s="269"/>
      <c r="BE36" s="269"/>
      <c r="BF36" s="269"/>
      <c r="BG36" s="269"/>
      <c r="BH36" s="269"/>
      <c r="BI36" s="269"/>
      <c r="BJ36" s="269"/>
      <c r="BK36" s="269"/>
      <c r="BL36" s="269"/>
      <c r="BM36" s="269"/>
      <c r="BN36" s="269"/>
      <c r="BO36" s="269"/>
      <c r="BP36" s="269"/>
      <c r="BQ36" s="269"/>
      <c r="BR36" s="269"/>
      <c r="BS36" s="269"/>
      <c r="BT36" s="269"/>
      <c r="BU36" s="269"/>
      <c r="BV36" s="269"/>
      <c r="BW36" s="270"/>
      <c r="BX36" s="30"/>
      <c r="BY36" s="271" t="str">
        <f ca="1">INDIRECT(ADDRESS(11,146,4,1,EF36))</f>
        <v>г. Симферополь 
28-29 октября 2023 г.</v>
      </c>
      <c r="BZ36" s="272"/>
      <c r="CA36" s="272"/>
      <c r="CB36" s="272"/>
      <c r="CC36" s="272"/>
      <c r="CD36" s="272"/>
      <c r="CE36" s="272"/>
      <c r="CF36" s="272"/>
      <c r="CG36" s="272"/>
      <c r="CH36" s="272"/>
      <c r="CI36" s="272"/>
      <c r="CJ36" s="272"/>
      <c r="CK36" s="272"/>
      <c r="CL36" s="272"/>
      <c r="CM36" s="272"/>
      <c r="CN36" s="272"/>
      <c r="CO36" s="272"/>
      <c r="CP36" s="272"/>
      <c r="CQ36" s="272"/>
      <c r="CR36" s="272"/>
      <c r="CS36" s="272"/>
      <c r="CT36" s="272"/>
      <c r="CU36" s="272"/>
      <c r="CV36" s="272"/>
      <c r="CW36" s="272"/>
      <c r="CX36" s="272"/>
      <c r="CY36" s="272"/>
      <c r="CZ36" s="272"/>
      <c r="DA36" s="272"/>
      <c r="DB36" s="272"/>
      <c r="DC36" s="272"/>
      <c r="DD36" s="272"/>
      <c r="DE36" s="272"/>
      <c r="DF36" s="272"/>
      <c r="DG36" s="272"/>
      <c r="DH36" s="272"/>
      <c r="DI36" s="272"/>
      <c r="DJ36" s="272"/>
      <c r="DK36" s="272"/>
      <c r="DL36" s="272"/>
      <c r="DM36" s="272"/>
      <c r="DN36" s="272"/>
      <c r="DO36" s="272"/>
      <c r="DP36" s="272"/>
      <c r="DQ36" s="272"/>
      <c r="DR36" s="273"/>
      <c r="DS36" s="19"/>
      <c r="DT36" s="274" t="str">
        <f ca="1">INDIRECT(ADDRESS(13,193,4,1,EF36))</f>
        <v>тур 1, встреча 4, 1 - 9</v>
      </c>
      <c r="DU36" s="275"/>
      <c r="DV36" s="275"/>
      <c r="DW36" s="275"/>
      <c r="DX36" s="275"/>
      <c r="DY36" s="275"/>
      <c r="DZ36" s="275"/>
      <c r="EA36" s="275"/>
      <c r="EB36" s="275"/>
      <c r="EC36" s="275"/>
      <c r="ED36" s="275"/>
      <c r="EE36" s="276"/>
      <c r="EF36" s="277">
        <f>EF25+1</f>
        <v>4</v>
      </c>
      <c r="EG36" s="278"/>
      <c r="EH36" s="278"/>
      <c r="EI36" s="278"/>
      <c r="EJ36" s="278"/>
      <c r="EK36" s="278"/>
      <c r="EL36" s="278"/>
      <c r="EM36" s="278"/>
      <c r="EN36" s="279"/>
      <c r="EO36" s="277" t="str">
        <f ca="1">INDIRECT(ADDRESS(11,214,4,1,EF36))</f>
        <v/>
      </c>
      <c r="EP36" s="278"/>
      <c r="EQ36" s="278"/>
      <c r="ER36" s="278"/>
      <c r="ES36" s="278"/>
      <c r="ET36" s="278"/>
      <c r="EU36" s="278"/>
      <c r="EV36" s="278"/>
      <c r="EW36" s="279"/>
    </row>
    <row r="37" spans="1:153" ht="20.25" thickTop="1" thickBot="1" x14ac:dyDescent="0.3">
      <c r="B37" s="134"/>
      <c r="C37" s="134"/>
      <c r="D37" s="134"/>
      <c r="E37" s="134"/>
      <c r="F37" s="134"/>
      <c r="G37" s="134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</row>
    <row r="38" spans="1:153" ht="30" customHeight="1" thickTop="1" thickBot="1" x14ac:dyDescent="0.3">
      <c r="B38" s="258" t="s">
        <v>23</v>
      </c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259"/>
      <c r="AF38" s="259"/>
      <c r="AG38" s="259"/>
      <c r="AH38" s="259"/>
      <c r="AI38" s="259"/>
      <c r="AJ38" s="259"/>
      <c r="AK38" s="259"/>
      <c r="AL38" s="260"/>
      <c r="AM38" s="258" t="s">
        <v>23</v>
      </c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9"/>
      <c r="BO38" s="259"/>
      <c r="BP38" s="259"/>
      <c r="BQ38" s="259"/>
      <c r="BR38" s="259"/>
      <c r="BS38" s="259"/>
      <c r="BT38" s="259"/>
      <c r="BU38" s="259"/>
      <c r="BV38" s="259"/>
      <c r="BW38" s="260"/>
      <c r="BX38" s="261" t="s">
        <v>27</v>
      </c>
      <c r="BY38" s="262"/>
      <c r="BZ38" s="262"/>
      <c r="CA38" s="262"/>
      <c r="CB38" s="262"/>
      <c r="CC38" s="262"/>
      <c r="CD38" s="262"/>
      <c r="CE38" s="262"/>
      <c r="CF38" s="262"/>
      <c r="CG38" s="263"/>
      <c r="CH38" s="264" t="s">
        <v>28</v>
      </c>
      <c r="CI38" s="262"/>
      <c r="CJ38" s="262"/>
      <c r="CK38" s="262"/>
      <c r="CL38" s="262"/>
      <c r="CM38" s="262"/>
      <c r="CN38" s="262"/>
      <c r="CO38" s="262"/>
      <c r="CP38" s="262"/>
      <c r="CQ38" s="263"/>
      <c r="CR38" s="264" t="s">
        <v>29</v>
      </c>
      <c r="CS38" s="262"/>
      <c r="CT38" s="262"/>
      <c r="CU38" s="262"/>
      <c r="CV38" s="262"/>
      <c r="CW38" s="262"/>
      <c r="CX38" s="262"/>
      <c r="CY38" s="262"/>
      <c r="CZ38" s="262"/>
      <c r="DA38" s="263"/>
      <c r="DB38" s="264" t="s">
        <v>30</v>
      </c>
      <c r="DC38" s="262"/>
      <c r="DD38" s="262"/>
      <c r="DE38" s="262"/>
      <c r="DF38" s="262"/>
      <c r="DG38" s="262"/>
      <c r="DH38" s="262"/>
      <c r="DI38" s="262"/>
      <c r="DJ38" s="262"/>
      <c r="DK38" s="263"/>
      <c r="DL38" s="264" t="s">
        <v>31</v>
      </c>
      <c r="DM38" s="262"/>
      <c r="DN38" s="262"/>
      <c r="DO38" s="262"/>
      <c r="DP38" s="262"/>
      <c r="DQ38" s="262"/>
      <c r="DR38" s="262"/>
      <c r="DS38" s="262"/>
      <c r="DT38" s="262"/>
      <c r="DU38" s="280"/>
      <c r="DV38" s="281" t="s">
        <v>32</v>
      </c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3"/>
      <c r="EJ38" s="281" t="s">
        <v>33</v>
      </c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3"/>
    </row>
    <row r="39" spans="1:153" ht="36" thickTop="1" x14ac:dyDescent="0.25">
      <c r="B39" s="324" t="s">
        <v>17</v>
      </c>
      <c r="C39" s="325"/>
      <c r="D39" s="325"/>
      <c r="E39" s="325"/>
      <c r="F39" s="326"/>
      <c r="G39" s="327" t="str">
        <f ca="1">INDIRECT(ADDRESS(16,34,4,1,EF36))</f>
        <v xml:space="preserve"> Чекалов Никита Геннадьевич</v>
      </c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9"/>
      <c r="AM39" s="324" t="s">
        <v>35</v>
      </c>
      <c r="AN39" s="325"/>
      <c r="AO39" s="325"/>
      <c r="AP39" s="325"/>
      <c r="AQ39" s="326"/>
      <c r="AR39" s="330" t="str">
        <f ca="1">INDIRECT(ADDRESS(16,92,4,1,EF36))</f>
        <v xml:space="preserve"> Масовер Андрей Ромазанович</v>
      </c>
      <c r="AS39" s="331"/>
      <c r="AT39" s="331"/>
      <c r="AU39" s="331"/>
      <c r="AV39" s="331"/>
      <c r="AW39" s="331"/>
      <c r="AX39" s="331"/>
      <c r="AY39" s="331"/>
      <c r="AZ39" s="331"/>
      <c r="BA39" s="331"/>
      <c r="BB39" s="331"/>
      <c r="BC39" s="331"/>
      <c r="BD39" s="331"/>
      <c r="BE39" s="331"/>
      <c r="BF39" s="331"/>
      <c r="BG39" s="331"/>
      <c r="BH39" s="331"/>
      <c r="BI39" s="331"/>
      <c r="BJ39" s="331"/>
      <c r="BK39" s="331"/>
      <c r="BL39" s="331"/>
      <c r="BM39" s="331"/>
      <c r="BN39" s="331"/>
      <c r="BO39" s="331"/>
      <c r="BP39" s="331"/>
      <c r="BQ39" s="331"/>
      <c r="BR39" s="331"/>
      <c r="BS39" s="331"/>
      <c r="BT39" s="331"/>
      <c r="BU39" s="331"/>
      <c r="BV39" s="331"/>
      <c r="BW39" s="332"/>
      <c r="BX39" s="333">
        <f ca="1">INDIRECT(ADDRESS(16,145,4,1,EF36))</f>
        <v>5</v>
      </c>
      <c r="BY39" s="320"/>
      <c r="BZ39" s="320"/>
      <c r="CA39" s="320"/>
      <c r="CB39" s="314" t="str">
        <f ca="1">IF(BX39="","","-")</f>
        <v>-</v>
      </c>
      <c r="CC39" s="314"/>
      <c r="CD39" s="320">
        <f ca="1">INDIRECT(ADDRESS(16,151,4,1,EF36))</f>
        <v>11</v>
      </c>
      <c r="CE39" s="320"/>
      <c r="CF39" s="320"/>
      <c r="CG39" s="321"/>
      <c r="CH39" s="322">
        <f ca="1">INDIRECT(ADDRESS(16,155,4,1,EF36))</f>
        <v>7</v>
      </c>
      <c r="CI39" s="320"/>
      <c r="CJ39" s="320"/>
      <c r="CK39" s="320"/>
      <c r="CL39" s="323" t="str">
        <f ca="1">IF(CH39="","","-")</f>
        <v>-</v>
      </c>
      <c r="CM39" s="323"/>
      <c r="CN39" s="320">
        <f ca="1">INDIRECT(ADDRESS(16,161,4,1,EF36))</f>
        <v>11</v>
      </c>
      <c r="CO39" s="320"/>
      <c r="CP39" s="320"/>
      <c r="CQ39" s="321"/>
      <c r="CR39" s="322">
        <f ca="1">INDIRECT(ADDRESS(16,165,4,1,EF36))</f>
        <v>4</v>
      </c>
      <c r="CS39" s="320"/>
      <c r="CT39" s="320"/>
      <c r="CU39" s="320"/>
      <c r="CV39" s="323" t="str">
        <f ca="1">IF(CR39="","","-")</f>
        <v>-</v>
      </c>
      <c r="CW39" s="323"/>
      <c r="CX39" s="320">
        <f ca="1">INDIRECT(ADDRESS(16,171,4,1,EF36))</f>
        <v>11</v>
      </c>
      <c r="CY39" s="320"/>
      <c r="CZ39" s="320"/>
      <c r="DA39" s="321"/>
      <c r="DB39" s="322" t="str">
        <f ca="1">INDIRECT(ADDRESS(16,175,4,1,EF36))</f>
        <v/>
      </c>
      <c r="DC39" s="320"/>
      <c r="DD39" s="320"/>
      <c r="DE39" s="320"/>
      <c r="DF39" s="323" t="str">
        <f ca="1">IF(DB39="","","-")</f>
        <v/>
      </c>
      <c r="DG39" s="323"/>
      <c r="DH39" s="320" t="str">
        <f ca="1">INDIRECT(ADDRESS(16,181,4,1,EF36))</f>
        <v/>
      </c>
      <c r="DI39" s="320"/>
      <c r="DJ39" s="320"/>
      <c r="DK39" s="321"/>
      <c r="DL39" s="257" t="str">
        <f ca="1">INDIRECT(ADDRESS(16,185,4,1,EF36))</f>
        <v/>
      </c>
      <c r="DM39" s="255"/>
      <c r="DN39" s="255"/>
      <c r="DO39" s="255"/>
      <c r="DP39" s="254" t="str">
        <f ca="1">IF(DL39="","","-")</f>
        <v/>
      </c>
      <c r="DQ39" s="254"/>
      <c r="DR39" s="255" t="str">
        <f ca="1">INDIRECT(ADDRESS(16,191,4,1,EF36))</f>
        <v/>
      </c>
      <c r="DS39" s="255"/>
      <c r="DT39" s="255"/>
      <c r="DU39" s="302"/>
      <c r="DV39" s="309">
        <f ca="1">INDIRECT(ADDRESS(16,195,4,1,EF36))</f>
        <v>0</v>
      </c>
      <c r="DW39" s="310"/>
      <c r="DX39" s="310"/>
      <c r="DY39" s="310"/>
      <c r="DZ39" s="310"/>
      <c r="EA39" s="310"/>
      <c r="EB39" s="311"/>
      <c r="EC39" s="312">
        <f ca="1">INDIRECT(ADDRESS(16,202,4,1,EF36))</f>
        <v>3</v>
      </c>
      <c r="ED39" s="310"/>
      <c r="EE39" s="310"/>
      <c r="EF39" s="310"/>
      <c r="EG39" s="310"/>
      <c r="EH39" s="310"/>
      <c r="EI39" s="313"/>
      <c r="EJ39" s="315">
        <f ca="1">INDIRECT(ADDRESS(16,209,4,1,EF36))</f>
        <v>0</v>
      </c>
      <c r="EK39" s="316"/>
      <c r="EL39" s="316"/>
      <c r="EM39" s="316"/>
      <c r="EN39" s="316"/>
      <c r="EO39" s="316"/>
      <c r="EP39" s="317"/>
      <c r="EQ39" s="318">
        <f ca="1">INDIRECT(ADDRESS(16,216,4,1,EF36))</f>
        <v>1</v>
      </c>
      <c r="ER39" s="316"/>
      <c r="ES39" s="316"/>
      <c r="ET39" s="316"/>
      <c r="EU39" s="316"/>
      <c r="EV39" s="316"/>
      <c r="EW39" s="319"/>
    </row>
    <row r="40" spans="1:153" ht="35.25" customHeight="1" x14ac:dyDescent="0.25">
      <c r="B40" s="305" t="s">
        <v>18</v>
      </c>
      <c r="C40" s="306"/>
      <c r="D40" s="306"/>
      <c r="E40" s="306"/>
      <c r="F40" s="307"/>
      <c r="G40" s="298" t="str">
        <f ca="1">INDIRECT(ADDRESS(17,34,4,1,EF36))</f>
        <v xml:space="preserve"> Михайленко Кирилл Вадимович</v>
      </c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300"/>
      <c r="AM40" s="305" t="s">
        <v>34</v>
      </c>
      <c r="AN40" s="306"/>
      <c r="AO40" s="306"/>
      <c r="AP40" s="306"/>
      <c r="AQ40" s="307"/>
      <c r="AR40" s="298" t="str">
        <f ca="1">INDIRECT(ADDRESS(17,92,4,1,EF36))</f>
        <v xml:space="preserve"> Щепетнев Дмитрий Владимирович</v>
      </c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299"/>
      <c r="BF40" s="299"/>
      <c r="BG40" s="299"/>
      <c r="BH40" s="299"/>
      <c r="BI40" s="299"/>
      <c r="BJ40" s="299"/>
      <c r="BK40" s="299"/>
      <c r="BL40" s="299"/>
      <c r="BM40" s="299"/>
      <c r="BN40" s="299"/>
      <c r="BO40" s="299"/>
      <c r="BP40" s="299"/>
      <c r="BQ40" s="299"/>
      <c r="BR40" s="299"/>
      <c r="BS40" s="299"/>
      <c r="BT40" s="299"/>
      <c r="BU40" s="299"/>
      <c r="BV40" s="299"/>
      <c r="BW40" s="300"/>
      <c r="BX40" s="301">
        <f ca="1">INDIRECT(ADDRESS(17,145,4,1,EF36))</f>
        <v>5</v>
      </c>
      <c r="BY40" s="255"/>
      <c r="BZ40" s="255"/>
      <c r="CA40" s="255"/>
      <c r="CB40" s="297" t="str">
        <f ca="1">IF(BX40="","","-")</f>
        <v>-</v>
      </c>
      <c r="CC40" s="297"/>
      <c r="CD40" s="255">
        <f ca="1">INDIRECT(ADDRESS(17,151,4,1,EF36))</f>
        <v>11</v>
      </c>
      <c r="CE40" s="255"/>
      <c r="CF40" s="255"/>
      <c r="CG40" s="256"/>
      <c r="CH40" s="257">
        <f ca="1">INDIRECT(ADDRESS(17,155,4,1,EF36))</f>
        <v>9</v>
      </c>
      <c r="CI40" s="255"/>
      <c r="CJ40" s="255"/>
      <c r="CK40" s="255"/>
      <c r="CL40" s="254" t="str">
        <f ca="1">IF(CH40="","","-")</f>
        <v>-</v>
      </c>
      <c r="CM40" s="254"/>
      <c r="CN40" s="255">
        <f ca="1">INDIRECT(ADDRESS(17,161,4,1,EF36))</f>
        <v>11</v>
      </c>
      <c r="CO40" s="255"/>
      <c r="CP40" s="255"/>
      <c r="CQ40" s="256"/>
      <c r="CR40" s="257">
        <f ca="1">INDIRECT(ADDRESS(17,165,4,1,EF36))</f>
        <v>5</v>
      </c>
      <c r="CS40" s="255"/>
      <c r="CT40" s="255"/>
      <c r="CU40" s="255"/>
      <c r="CV40" s="254" t="str">
        <f ca="1">IF(CR40="","","-")</f>
        <v>-</v>
      </c>
      <c r="CW40" s="254"/>
      <c r="CX40" s="255">
        <f ca="1">INDIRECT(ADDRESS(17,171,4,1,EF36))</f>
        <v>11</v>
      </c>
      <c r="CY40" s="255"/>
      <c r="CZ40" s="255"/>
      <c r="DA40" s="256"/>
      <c r="DB40" s="257" t="str">
        <f ca="1">INDIRECT(ADDRESS(17,175,4,1,EF36))</f>
        <v/>
      </c>
      <c r="DC40" s="255"/>
      <c r="DD40" s="255"/>
      <c r="DE40" s="255"/>
      <c r="DF40" s="254" t="str">
        <f ca="1">IF(DB40="","","-")</f>
        <v/>
      </c>
      <c r="DG40" s="254"/>
      <c r="DH40" s="255" t="str">
        <f ca="1">INDIRECT(ADDRESS(17,181,4,1,EF36))</f>
        <v/>
      </c>
      <c r="DI40" s="255"/>
      <c r="DJ40" s="255"/>
      <c r="DK40" s="256"/>
      <c r="DL40" s="257" t="str">
        <f ca="1">INDIRECT(ADDRESS(17,185,4,1,EF36))</f>
        <v/>
      </c>
      <c r="DM40" s="255"/>
      <c r="DN40" s="255"/>
      <c r="DO40" s="255"/>
      <c r="DP40" s="254" t="str">
        <f ca="1">IF(DL40="","","-")</f>
        <v/>
      </c>
      <c r="DQ40" s="254"/>
      <c r="DR40" s="255" t="str">
        <f ca="1">INDIRECT(ADDRESS(17,191,4,1,EF36))</f>
        <v/>
      </c>
      <c r="DS40" s="255"/>
      <c r="DT40" s="255"/>
      <c r="DU40" s="302"/>
      <c r="DV40" s="303">
        <f ca="1">INDIRECT(ADDRESS(17,195,4,1,EF36))</f>
        <v>0</v>
      </c>
      <c r="DW40" s="247"/>
      <c r="DX40" s="247"/>
      <c r="DY40" s="247"/>
      <c r="DZ40" s="247"/>
      <c r="EA40" s="247"/>
      <c r="EB40" s="304"/>
      <c r="EC40" s="246">
        <f ca="1">INDIRECT(ADDRESS(17,202,4,1,EF36))</f>
        <v>3</v>
      </c>
      <c r="ED40" s="247"/>
      <c r="EE40" s="247"/>
      <c r="EF40" s="247"/>
      <c r="EG40" s="247"/>
      <c r="EH40" s="247"/>
      <c r="EI40" s="248"/>
      <c r="EJ40" s="249">
        <f ca="1">INDIRECT(ADDRESS(17,209,4,1,EF36))</f>
        <v>0</v>
      </c>
      <c r="EK40" s="250"/>
      <c r="EL40" s="250"/>
      <c r="EM40" s="250"/>
      <c r="EN40" s="250"/>
      <c r="EO40" s="250"/>
      <c r="EP40" s="251"/>
      <c r="EQ40" s="252">
        <f ca="1">INDIRECT(ADDRESS(17,216,4,1,EF36))</f>
        <v>1</v>
      </c>
      <c r="ER40" s="250"/>
      <c r="ES40" s="250"/>
      <c r="ET40" s="250"/>
      <c r="EU40" s="250"/>
      <c r="EV40" s="250"/>
      <c r="EW40" s="253"/>
    </row>
    <row r="41" spans="1:153" ht="35.25" x14ac:dyDescent="0.25">
      <c r="B41" s="305" t="s">
        <v>36</v>
      </c>
      <c r="C41" s="306"/>
      <c r="D41" s="306"/>
      <c r="E41" s="306"/>
      <c r="F41" s="307"/>
      <c r="G41" s="298" t="str">
        <f ca="1">INDIRECT(ADDRESS(18,34,4,1,EF36))</f>
        <v xml:space="preserve"> Чекалов Дмитрий Геннадьевич</v>
      </c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308"/>
      <c r="AM41" s="305" t="s">
        <v>37</v>
      </c>
      <c r="AN41" s="306"/>
      <c r="AO41" s="306"/>
      <c r="AP41" s="306"/>
      <c r="AQ41" s="307"/>
      <c r="AR41" s="298" t="str">
        <f ca="1">INDIRECT(ADDRESS(18,92,4,1,EF36))</f>
        <v xml:space="preserve"> Панков Леонид Александрович</v>
      </c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299"/>
      <c r="BF41" s="299"/>
      <c r="BG41" s="299"/>
      <c r="BH41" s="299"/>
      <c r="BI41" s="299"/>
      <c r="BJ41" s="299"/>
      <c r="BK41" s="299"/>
      <c r="BL41" s="299"/>
      <c r="BM41" s="299"/>
      <c r="BN41" s="299"/>
      <c r="BO41" s="299"/>
      <c r="BP41" s="299"/>
      <c r="BQ41" s="299"/>
      <c r="BR41" s="299"/>
      <c r="BS41" s="299"/>
      <c r="BT41" s="299"/>
      <c r="BU41" s="299"/>
      <c r="BV41" s="299"/>
      <c r="BW41" s="300"/>
      <c r="BX41" s="301">
        <f ca="1">INDIRECT(ADDRESS(18,145,4,1,EF36))</f>
        <v>0</v>
      </c>
      <c r="BY41" s="255"/>
      <c r="BZ41" s="255"/>
      <c r="CA41" s="255"/>
      <c r="CB41" s="297" t="str">
        <f ca="1">IF(BX41="","","-")</f>
        <v>-</v>
      </c>
      <c r="CC41" s="297"/>
      <c r="CD41" s="255">
        <f ca="1">INDIRECT(ADDRESS(18,151,4,1,EF36))</f>
        <v>11</v>
      </c>
      <c r="CE41" s="255"/>
      <c r="CF41" s="255"/>
      <c r="CG41" s="256"/>
      <c r="CH41" s="257">
        <f ca="1">INDIRECT(ADDRESS(18,155,4,1,EF36))</f>
        <v>0</v>
      </c>
      <c r="CI41" s="255"/>
      <c r="CJ41" s="255"/>
      <c r="CK41" s="255"/>
      <c r="CL41" s="254" t="str">
        <f ca="1">IF(CH41="","","-")</f>
        <v>-</v>
      </c>
      <c r="CM41" s="254"/>
      <c r="CN41" s="255">
        <f ca="1">INDIRECT(ADDRESS(18,161,4,1,EF36))</f>
        <v>11</v>
      </c>
      <c r="CO41" s="255"/>
      <c r="CP41" s="255"/>
      <c r="CQ41" s="256"/>
      <c r="CR41" s="257">
        <f ca="1">INDIRECT(ADDRESS(18,165,4,1,EF36))</f>
        <v>0</v>
      </c>
      <c r="CS41" s="255"/>
      <c r="CT41" s="255"/>
      <c r="CU41" s="255"/>
      <c r="CV41" s="254" t="str">
        <f ca="1">IF(CR41="","","-")</f>
        <v>-</v>
      </c>
      <c r="CW41" s="254"/>
      <c r="CX41" s="255">
        <f ca="1">INDIRECT(ADDRESS(18,171,4,1,EF36))</f>
        <v>11</v>
      </c>
      <c r="CY41" s="255"/>
      <c r="CZ41" s="255"/>
      <c r="DA41" s="256"/>
      <c r="DB41" s="257" t="str">
        <f ca="1">INDIRECT(ADDRESS(18,175,4,1,EF36))</f>
        <v/>
      </c>
      <c r="DC41" s="255"/>
      <c r="DD41" s="255"/>
      <c r="DE41" s="255"/>
      <c r="DF41" s="254" t="str">
        <f ca="1">IF(DB41="","","-")</f>
        <v/>
      </c>
      <c r="DG41" s="254"/>
      <c r="DH41" s="255" t="str">
        <f ca="1">INDIRECT(ADDRESS(18,181,4,1,EF36))</f>
        <v/>
      </c>
      <c r="DI41" s="255"/>
      <c r="DJ41" s="255"/>
      <c r="DK41" s="256"/>
      <c r="DL41" s="257" t="str">
        <f ca="1">INDIRECT(ADDRESS(18,185,4,1,EF36))</f>
        <v/>
      </c>
      <c r="DM41" s="255"/>
      <c r="DN41" s="255"/>
      <c r="DO41" s="255"/>
      <c r="DP41" s="254" t="str">
        <f ca="1">IF(DL41="","","-")</f>
        <v/>
      </c>
      <c r="DQ41" s="254"/>
      <c r="DR41" s="255" t="str">
        <f ca="1">INDIRECT(ADDRESS(18,191,4,1,EF36))</f>
        <v/>
      </c>
      <c r="DS41" s="255"/>
      <c r="DT41" s="255"/>
      <c r="DU41" s="302"/>
      <c r="DV41" s="303">
        <f ca="1">INDIRECT(ADDRESS(18,195,4,1,EF36))</f>
        <v>0</v>
      </c>
      <c r="DW41" s="247"/>
      <c r="DX41" s="247"/>
      <c r="DY41" s="247"/>
      <c r="DZ41" s="247"/>
      <c r="EA41" s="247"/>
      <c r="EB41" s="304"/>
      <c r="EC41" s="246">
        <f ca="1">INDIRECT(ADDRESS(18,202,4,1,EF36))</f>
        <v>3</v>
      </c>
      <c r="ED41" s="247"/>
      <c r="EE41" s="247"/>
      <c r="EF41" s="247"/>
      <c r="EG41" s="247"/>
      <c r="EH41" s="247"/>
      <c r="EI41" s="248"/>
      <c r="EJ41" s="249">
        <f ca="1">INDIRECT(ADDRESS(18,209,4,1,EF36))</f>
        <v>0</v>
      </c>
      <c r="EK41" s="250"/>
      <c r="EL41" s="250"/>
      <c r="EM41" s="250"/>
      <c r="EN41" s="250"/>
      <c r="EO41" s="250"/>
      <c r="EP41" s="251"/>
      <c r="EQ41" s="252">
        <f ca="1">INDIRECT(ADDRESS(18,216,4,1,EF36))</f>
        <v>1</v>
      </c>
      <c r="ER41" s="250"/>
      <c r="ES41" s="250"/>
      <c r="ET41" s="250"/>
      <c r="EU41" s="250"/>
      <c r="EV41" s="250"/>
      <c r="EW41" s="253"/>
    </row>
    <row r="42" spans="1:153" ht="35.25" x14ac:dyDescent="0.25">
      <c r="B42" s="305" t="s">
        <v>17</v>
      </c>
      <c r="C42" s="306"/>
      <c r="D42" s="306"/>
      <c r="E42" s="306"/>
      <c r="F42" s="307"/>
      <c r="G42" s="298" t="str">
        <f ca="1">INDIRECT(ADDRESS(19,34,4,1,EF36))</f>
        <v xml:space="preserve"> Чекалов Никита Геннадьевич</v>
      </c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308"/>
      <c r="AM42" s="305" t="s">
        <v>34</v>
      </c>
      <c r="AN42" s="306"/>
      <c r="AO42" s="306"/>
      <c r="AP42" s="306"/>
      <c r="AQ42" s="307"/>
      <c r="AR42" s="298" t="str">
        <f ca="1">INDIRECT(ADDRESS(19,92,4,1,EF36))</f>
        <v xml:space="preserve"> Щепетнев Дмитрий Владимирович</v>
      </c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299"/>
      <c r="BF42" s="299"/>
      <c r="BG42" s="299"/>
      <c r="BH42" s="299"/>
      <c r="BI42" s="299"/>
      <c r="BJ42" s="299"/>
      <c r="BK42" s="299"/>
      <c r="BL42" s="299"/>
      <c r="BM42" s="299"/>
      <c r="BN42" s="299"/>
      <c r="BO42" s="299"/>
      <c r="BP42" s="299"/>
      <c r="BQ42" s="299"/>
      <c r="BR42" s="299"/>
      <c r="BS42" s="299"/>
      <c r="BT42" s="299"/>
      <c r="BU42" s="299"/>
      <c r="BV42" s="299"/>
      <c r="BW42" s="300"/>
      <c r="BX42" s="301" t="str">
        <f ca="1">INDIRECT(ADDRESS(19,145,4,1,EF36))</f>
        <v/>
      </c>
      <c r="BY42" s="255"/>
      <c r="BZ42" s="255"/>
      <c r="CA42" s="255"/>
      <c r="CB42" s="297" t="str">
        <f ca="1">IF(BX42="","","-")</f>
        <v/>
      </c>
      <c r="CC42" s="297"/>
      <c r="CD42" s="255" t="str">
        <f ca="1">INDIRECT(ADDRESS(19,151,4,1,EF36))</f>
        <v/>
      </c>
      <c r="CE42" s="255"/>
      <c r="CF42" s="255"/>
      <c r="CG42" s="256"/>
      <c r="CH42" s="257" t="str">
        <f ca="1">INDIRECT(ADDRESS(19,155,4,1,EF36))</f>
        <v/>
      </c>
      <c r="CI42" s="255"/>
      <c r="CJ42" s="255"/>
      <c r="CK42" s="255"/>
      <c r="CL42" s="254" t="str">
        <f ca="1">IF(CH42="","","-")</f>
        <v/>
      </c>
      <c r="CM42" s="254"/>
      <c r="CN42" s="255" t="str">
        <f ca="1">INDIRECT(ADDRESS(19,161,4,1,EF36))</f>
        <v/>
      </c>
      <c r="CO42" s="255"/>
      <c r="CP42" s="255"/>
      <c r="CQ42" s="256"/>
      <c r="CR42" s="257" t="str">
        <f ca="1">INDIRECT(ADDRESS(19,165,4,1,EF36))</f>
        <v/>
      </c>
      <c r="CS42" s="255"/>
      <c r="CT42" s="255"/>
      <c r="CU42" s="255"/>
      <c r="CV42" s="254" t="str">
        <f ca="1">IF(CR42="","","-")</f>
        <v/>
      </c>
      <c r="CW42" s="254"/>
      <c r="CX42" s="255" t="str">
        <f ca="1">INDIRECT(ADDRESS(19,171,4,1,EF36))</f>
        <v/>
      </c>
      <c r="CY42" s="255"/>
      <c r="CZ42" s="255"/>
      <c r="DA42" s="256"/>
      <c r="DB42" s="257" t="str">
        <f ca="1">INDIRECT(ADDRESS(19,175,4,1,EF36))</f>
        <v/>
      </c>
      <c r="DC42" s="255"/>
      <c r="DD42" s="255"/>
      <c r="DE42" s="255"/>
      <c r="DF42" s="254" t="str">
        <f ca="1">IF(DB42="","","-")</f>
        <v/>
      </c>
      <c r="DG42" s="254"/>
      <c r="DH42" s="255" t="str">
        <f ca="1">INDIRECT(ADDRESS(19,181,4,1,EF36))</f>
        <v/>
      </c>
      <c r="DI42" s="255"/>
      <c r="DJ42" s="255"/>
      <c r="DK42" s="256"/>
      <c r="DL42" s="257" t="str">
        <f ca="1">INDIRECT(ADDRESS(19,185,4,1,EF36))</f>
        <v/>
      </c>
      <c r="DM42" s="255"/>
      <c r="DN42" s="255"/>
      <c r="DO42" s="255"/>
      <c r="DP42" s="254" t="str">
        <f ca="1">IF(DL42="","","-")</f>
        <v/>
      </c>
      <c r="DQ42" s="254"/>
      <c r="DR42" s="255" t="str">
        <f ca="1">INDIRECT(ADDRESS(19,191,4,1,EF36))</f>
        <v/>
      </c>
      <c r="DS42" s="255"/>
      <c r="DT42" s="255"/>
      <c r="DU42" s="302"/>
      <c r="DV42" s="303" t="str">
        <f ca="1">INDIRECT(ADDRESS(19,195,4,1,EF36))</f>
        <v/>
      </c>
      <c r="DW42" s="247"/>
      <c r="DX42" s="247"/>
      <c r="DY42" s="247"/>
      <c r="DZ42" s="247"/>
      <c r="EA42" s="247"/>
      <c r="EB42" s="304"/>
      <c r="EC42" s="246" t="str">
        <f ca="1">INDIRECT(ADDRESS(19,202,4,1,EF36))</f>
        <v/>
      </c>
      <c r="ED42" s="247"/>
      <c r="EE42" s="247"/>
      <c r="EF42" s="247"/>
      <c r="EG42" s="247"/>
      <c r="EH42" s="247"/>
      <c r="EI42" s="248"/>
      <c r="EJ42" s="249" t="str">
        <f ca="1">INDIRECT(ADDRESS(19,209,4,1,EF36))</f>
        <v/>
      </c>
      <c r="EK42" s="250"/>
      <c r="EL42" s="250"/>
      <c r="EM42" s="250"/>
      <c r="EN42" s="250"/>
      <c r="EO42" s="250"/>
      <c r="EP42" s="251"/>
      <c r="EQ42" s="252" t="str">
        <f ca="1">INDIRECT(ADDRESS(19,216,4,1,EF36))</f>
        <v/>
      </c>
      <c r="ER42" s="250"/>
      <c r="ES42" s="250"/>
      <c r="ET42" s="250"/>
      <c r="EU42" s="250"/>
      <c r="EV42" s="250"/>
      <c r="EW42" s="253"/>
    </row>
    <row r="43" spans="1:153" ht="36" thickBot="1" x14ac:dyDescent="0.3">
      <c r="B43" s="290" t="s">
        <v>18</v>
      </c>
      <c r="C43" s="291"/>
      <c r="D43" s="291"/>
      <c r="E43" s="291"/>
      <c r="F43" s="292"/>
      <c r="G43" s="293" t="str">
        <f ca="1">INDIRECT(ADDRESS(20,34,4,1,EF36))</f>
        <v xml:space="preserve"> Михайленко Кирилл Вадимович</v>
      </c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5"/>
      <c r="AM43" s="290" t="s">
        <v>35</v>
      </c>
      <c r="AN43" s="291"/>
      <c r="AO43" s="291"/>
      <c r="AP43" s="291"/>
      <c r="AQ43" s="292"/>
      <c r="AR43" s="293" t="str">
        <f ca="1">INDIRECT(ADDRESS(20,92,4,1,EF36))</f>
        <v xml:space="preserve"> Масовер Андрей Ромазанович</v>
      </c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6"/>
      <c r="BX43" s="244" t="str">
        <f ca="1">INDIRECT(ADDRESS(20,145,4,1,EF36))</f>
        <v/>
      </c>
      <c r="BY43" s="233"/>
      <c r="BZ43" s="233"/>
      <c r="CA43" s="233"/>
      <c r="CB43" s="245" t="str">
        <f ca="1">IF(BX43="","","-")</f>
        <v/>
      </c>
      <c r="CC43" s="245"/>
      <c r="CD43" s="233" t="str">
        <f ca="1">INDIRECT(ADDRESS(20,151,4,1,EF36))</f>
        <v/>
      </c>
      <c r="CE43" s="233"/>
      <c r="CF43" s="233"/>
      <c r="CG43" s="243"/>
      <c r="CH43" s="232" t="str">
        <f ca="1">INDIRECT(ADDRESS(20,155,4,1,EF36))</f>
        <v/>
      </c>
      <c r="CI43" s="233"/>
      <c r="CJ43" s="233"/>
      <c r="CK43" s="233"/>
      <c r="CL43" s="234" t="str">
        <f ca="1">IF(CH43="","","-")</f>
        <v/>
      </c>
      <c r="CM43" s="234"/>
      <c r="CN43" s="233" t="str">
        <f ca="1">INDIRECT(ADDRESS(20,161,4,1,EF36))</f>
        <v/>
      </c>
      <c r="CO43" s="233"/>
      <c r="CP43" s="233"/>
      <c r="CQ43" s="243"/>
      <c r="CR43" s="232" t="str">
        <f ca="1">INDIRECT(ADDRESS(20,165,4,1,EF36))</f>
        <v/>
      </c>
      <c r="CS43" s="233"/>
      <c r="CT43" s="233"/>
      <c r="CU43" s="233"/>
      <c r="CV43" s="234" t="str">
        <f ca="1">IF(CR43="","","-")</f>
        <v/>
      </c>
      <c r="CW43" s="234"/>
      <c r="CX43" s="233" t="str">
        <f ca="1">INDIRECT(ADDRESS(20,171,4,1,EF36))</f>
        <v/>
      </c>
      <c r="CY43" s="233"/>
      <c r="CZ43" s="233"/>
      <c r="DA43" s="243"/>
      <c r="DB43" s="232" t="str">
        <f ca="1">INDIRECT(ADDRESS(20,175,4,1,EF36))</f>
        <v/>
      </c>
      <c r="DC43" s="233"/>
      <c r="DD43" s="233"/>
      <c r="DE43" s="233"/>
      <c r="DF43" s="234" t="str">
        <f ca="1">IF(DB43="","","-")</f>
        <v/>
      </c>
      <c r="DG43" s="234"/>
      <c r="DH43" s="233" t="str">
        <f ca="1">INDIRECT(ADDRESS(20,181,4,1,EF36))</f>
        <v/>
      </c>
      <c r="DI43" s="233"/>
      <c r="DJ43" s="233"/>
      <c r="DK43" s="243"/>
      <c r="DL43" s="232" t="str">
        <f ca="1">INDIRECT(ADDRESS(20,185,4,1,EF36))</f>
        <v/>
      </c>
      <c r="DM43" s="233"/>
      <c r="DN43" s="233"/>
      <c r="DO43" s="233"/>
      <c r="DP43" s="234" t="str">
        <f ca="1">IF(DL43="","","-")</f>
        <v/>
      </c>
      <c r="DQ43" s="234"/>
      <c r="DR43" s="233" t="str">
        <f ca="1">INDIRECT(ADDRESS(20,191,4,1,EF36))</f>
        <v/>
      </c>
      <c r="DS43" s="233"/>
      <c r="DT43" s="233"/>
      <c r="DU43" s="235"/>
      <c r="DV43" s="236" t="str">
        <f ca="1">INDIRECT(ADDRESS(20,195,4,1,EF36))</f>
        <v/>
      </c>
      <c r="DW43" s="237"/>
      <c r="DX43" s="237"/>
      <c r="DY43" s="237"/>
      <c r="DZ43" s="237"/>
      <c r="EA43" s="237"/>
      <c r="EB43" s="238"/>
      <c r="EC43" s="239" t="str">
        <f ca="1">INDIRECT(ADDRESS(20,202,4,1,EF36))</f>
        <v/>
      </c>
      <c r="ED43" s="237"/>
      <c r="EE43" s="237"/>
      <c r="EF43" s="237"/>
      <c r="EG43" s="237"/>
      <c r="EH43" s="237"/>
      <c r="EI43" s="240"/>
      <c r="EJ43" s="241" t="str">
        <f ca="1">INDIRECT(ADDRESS(20,209,4,1,EF36))</f>
        <v/>
      </c>
      <c r="EK43" s="217"/>
      <c r="EL43" s="217"/>
      <c r="EM43" s="217"/>
      <c r="EN43" s="217"/>
      <c r="EO43" s="217"/>
      <c r="EP43" s="242"/>
      <c r="EQ43" s="216" t="str">
        <f ca="1">INDIRECT(ADDRESS(20,216,4,1,EF36))</f>
        <v/>
      </c>
      <c r="ER43" s="217"/>
      <c r="ES43" s="217"/>
      <c r="ET43" s="217"/>
      <c r="EU43" s="217"/>
      <c r="EV43" s="217"/>
      <c r="EW43" s="218"/>
    </row>
    <row r="44" spans="1:153" ht="36.75" thickTop="1" thickBot="1" x14ac:dyDescent="0.3">
      <c r="B44" s="219" t="s">
        <v>38</v>
      </c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20" t="str">
        <f ca="1">INDIRECT(ADDRESS(21,87,4,1,EF36))</f>
        <v>"РУСИЧИ" г.Симферополь</v>
      </c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  <c r="CP44" s="220"/>
      <c r="CQ44" s="220"/>
      <c r="CR44" s="220"/>
      <c r="CS44" s="220"/>
      <c r="CT44" s="220"/>
      <c r="CU44" s="220"/>
      <c r="CV44" s="220"/>
      <c r="CW44" s="220"/>
      <c r="CX44" s="220"/>
      <c r="CY44" s="220"/>
      <c r="CZ44" s="220"/>
      <c r="DA44" s="220"/>
      <c r="DB44" s="220"/>
      <c r="DC44" s="220"/>
      <c r="DD44" s="220"/>
      <c r="DE44" s="220"/>
      <c r="DF44" s="220"/>
      <c r="DG44" s="220"/>
      <c r="DH44" s="220"/>
      <c r="DI44" s="220"/>
      <c r="DJ44" s="220"/>
      <c r="DK44" s="220"/>
      <c r="DL44" s="220"/>
      <c r="DM44" s="220"/>
      <c r="DN44" s="220"/>
      <c r="DO44" s="220"/>
      <c r="DP44" s="220"/>
      <c r="DQ44" s="220"/>
      <c r="DR44" s="220"/>
      <c r="DS44" s="220"/>
      <c r="DT44" s="220"/>
      <c r="DU44" s="220"/>
      <c r="DV44" s="221">
        <f ca="1">INDIRECT(ADDRESS(21,195,4,1,EF36))</f>
        <v>0</v>
      </c>
      <c r="DW44" s="222"/>
      <c r="DX44" s="222"/>
      <c r="DY44" s="222"/>
      <c r="DZ44" s="222"/>
      <c r="EA44" s="222"/>
      <c r="EB44" s="223"/>
      <c r="EC44" s="224">
        <f ca="1">INDIRECT(ADDRESS(21,202,4,1,EF36))</f>
        <v>9</v>
      </c>
      <c r="ED44" s="225"/>
      <c r="EE44" s="225"/>
      <c r="EF44" s="225"/>
      <c r="EG44" s="225"/>
      <c r="EH44" s="225"/>
      <c r="EI44" s="226"/>
      <c r="EJ44" s="227">
        <f ca="1">INDIRECT(ADDRESS(21,209,4,1,EF36))</f>
        <v>0</v>
      </c>
      <c r="EK44" s="228"/>
      <c r="EL44" s="228"/>
      <c r="EM44" s="228"/>
      <c r="EN44" s="228"/>
      <c r="EO44" s="228"/>
      <c r="EP44" s="229"/>
      <c r="EQ44" s="230">
        <f ca="1">INDIRECT(ADDRESS(21,216,4,1,EF36))</f>
        <v>3</v>
      </c>
      <c r="ER44" s="228"/>
      <c r="ES44" s="228"/>
      <c r="ET44" s="228"/>
      <c r="EU44" s="228"/>
      <c r="EV44" s="228"/>
      <c r="EW44" s="231"/>
    </row>
    <row r="45" spans="1:153" ht="16.5" thickTop="1" thickBot="1" x14ac:dyDescent="0.3">
      <c r="A45" s="132"/>
    </row>
    <row r="46" spans="1:153" ht="21.75" thickTop="1" thickBot="1" x14ac:dyDescent="0.3">
      <c r="B46" s="284" t="s">
        <v>12</v>
      </c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4" t="s">
        <v>95</v>
      </c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6"/>
      <c r="BX46" s="26"/>
      <c r="BY46" s="287" t="s">
        <v>13</v>
      </c>
      <c r="BZ46" s="288"/>
      <c r="CA46" s="288"/>
      <c r="CB46" s="288"/>
      <c r="CC46" s="288"/>
      <c r="CD46" s="288"/>
      <c r="CE46" s="288"/>
      <c r="CF46" s="288"/>
      <c r="CG46" s="288"/>
      <c r="CH46" s="288"/>
      <c r="CI46" s="288"/>
      <c r="CJ46" s="288"/>
      <c r="CK46" s="288"/>
      <c r="CL46" s="288"/>
      <c r="CM46" s="288"/>
      <c r="CN46" s="288"/>
      <c r="CO46" s="288"/>
      <c r="CP46" s="288"/>
      <c r="CQ46" s="288"/>
      <c r="CR46" s="288"/>
      <c r="CS46" s="288"/>
      <c r="CT46" s="288"/>
      <c r="CU46" s="288"/>
      <c r="CV46" s="288"/>
      <c r="CW46" s="288"/>
      <c r="CX46" s="288"/>
      <c r="CY46" s="288"/>
      <c r="CZ46" s="288"/>
      <c r="DA46" s="288"/>
      <c r="DB46" s="288"/>
      <c r="DC46" s="288"/>
      <c r="DD46" s="288"/>
      <c r="DE46" s="288"/>
      <c r="DF46" s="288"/>
      <c r="DG46" s="288"/>
      <c r="DH46" s="288"/>
      <c r="DI46" s="288"/>
      <c r="DJ46" s="288"/>
      <c r="DK46" s="288"/>
      <c r="DL46" s="288"/>
      <c r="DM46" s="288"/>
      <c r="DN46" s="288"/>
      <c r="DO46" s="288"/>
      <c r="DP46" s="288"/>
      <c r="DQ46" s="288"/>
      <c r="DR46" s="289"/>
      <c r="DS46" s="19"/>
      <c r="DT46" s="265" t="s">
        <v>21</v>
      </c>
      <c r="DU46" s="266"/>
      <c r="DV46" s="266"/>
      <c r="DW46" s="266"/>
      <c r="DX46" s="266"/>
      <c r="DY46" s="266"/>
      <c r="DZ46" s="266"/>
      <c r="EA46" s="266"/>
      <c r="EB46" s="266"/>
      <c r="EC46" s="266"/>
      <c r="ED46" s="266"/>
      <c r="EE46" s="267"/>
      <c r="EF46" s="265" t="s">
        <v>22</v>
      </c>
      <c r="EG46" s="266"/>
      <c r="EH46" s="266"/>
      <c r="EI46" s="266"/>
      <c r="EJ46" s="266"/>
      <c r="EK46" s="266"/>
      <c r="EL46" s="266"/>
      <c r="EM46" s="266"/>
      <c r="EN46" s="267"/>
      <c r="EO46" s="265" t="s">
        <v>16</v>
      </c>
      <c r="EP46" s="266"/>
      <c r="EQ46" s="266"/>
      <c r="ER46" s="266"/>
      <c r="ES46" s="266"/>
      <c r="ET46" s="266"/>
      <c r="EU46" s="266"/>
      <c r="EV46" s="266"/>
      <c r="EW46" s="267"/>
    </row>
    <row r="47" spans="1:153" ht="30.75" customHeight="1" thickBot="1" x14ac:dyDescent="0.3">
      <c r="B47" s="268" t="str">
        <f ca="1">INDIRECT(ADDRESS(11,29,4,1,EF47))</f>
        <v>«Рассвет» г.Симферополь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8" t="str">
        <f ca="1">INDIRECT(ADDRESS(11,87,4,1,EF47))</f>
        <v>«СШ №3(2)» г.Симферополь</v>
      </c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  <c r="BA47" s="269"/>
      <c r="BB47" s="269"/>
      <c r="BC47" s="269"/>
      <c r="BD47" s="269"/>
      <c r="BE47" s="269"/>
      <c r="BF47" s="269"/>
      <c r="BG47" s="269"/>
      <c r="BH47" s="269"/>
      <c r="BI47" s="269"/>
      <c r="BJ47" s="269"/>
      <c r="BK47" s="269"/>
      <c r="BL47" s="269"/>
      <c r="BM47" s="269"/>
      <c r="BN47" s="269"/>
      <c r="BO47" s="269"/>
      <c r="BP47" s="269"/>
      <c r="BQ47" s="269"/>
      <c r="BR47" s="269"/>
      <c r="BS47" s="269"/>
      <c r="BT47" s="269"/>
      <c r="BU47" s="269"/>
      <c r="BV47" s="269"/>
      <c r="BW47" s="270"/>
      <c r="BX47" s="30"/>
      <c r="BY47" s="271" t="str">
        <f ca="1">INDIRECT(ADDRESS(11,146,4,1,EF47))</f>
        <v>г. Симферополь 
28-29 октября 2023 г.</v>
      </c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3"/>
      <c r="DS47" s="19"/>
      <c r="DT47" s="274" t="str">
        <f ca="1">INDIRECT(ADDRESS(13,193,4,1,EF47))</f>
        <v>тур 1, встреча 5, 5 - 10</v>
      </c>
      <c r="DU47" s="275"/>
      <c r="DV47" s="275"/>
      <c r="DW47" s="275"/>
      <c r="DX47" s="275"/>
      <c r="DY47" s="275"/>
      <c r="DZ47" s="275"/>
      <c r="EA47" s="275"/>
      <c r="EB47" s="275"/>
      <c r="EC47" s="275"/>
      <c r="ED47" s="275"/>
      <c r="EE47" s="276"/>
      <c r="EF47" s="277">
        <f>EF36+1</f>
        <v>5</v>
      </c>
      <c r="EG47" s="278"/>
      <c r="EH47" s="278"/>
      <c r="EI47" s="278"/>
      <c r="EJ47" s="278"/>
      <c r="EK47" s="278"/>
      <c r="EL47" s="278"/>
      <c r="EM47" s="278"/>
      <c r="EN47" s="279"/>
      <c r="EO47" s="277" t="str">
        <f ca="1">INDIRECT(ADDRESS(11,214,4,1,EF47))</f>
        <v/>
      </c>
      <c r="EP47" s="278"/>
      <c r="EQ47" s="278"/>
      <c r="ER47" s="278"/>
      <c r="ES47" s="278"/>
      <c r="ET47" s="278"/>
      <c r="EU47" s="278"/>
      <c r="EV47" s="278"/>
      <c r="EW47" s="279"/>
    </row>
    <row r="48" spans="1:153" ht="20.25" thickTop="1" thickBot="1" x14ac:dyDescent="0.3">
      <c r="B48" s="134"/>
      <c r="C48" s="134"/>
      <c r="D48" s="134"/>
      <c r="E48" s="134"/>
      <c r="F48" s="134"/>
      <c r="G48" s="134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</row>
    <row r="49" spans="1:153" ht="30" customHeight="1" thickTop="1" thickBot="1" x14ac:dyDescent="0.3">
      <c r="B49" s="258" t="s">
        <v>23</v>
      </c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60"/>
      <c r="AM49" s="258" t="s">
        <v>23</v>
      </c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59"/>
      <c r="BE49" s="259"/>
      <c r="BF49" s="259"/>
      <c r="BG49" s="259"/>
      <c r="BH49" s="259"/>
      <c r="BI49" s="259"/>
      <c r="BJ49" s="259"/>
      <c r="BK49" s="259"/>
      <c r="BL49" s="259"/>
      <c r="BM49" s="259"/>
      <c r="BN49" s="259"/>
      <c r="BO49" s="259"/>
      <c r="BP49" s="259"/>
      <c r="BQ49" s="259"/>
      <c r="BR49" s="259"/>
      <c r="BS49" s="259"/>
      <c r="BT49" s="259"/>
      <c r="BU49" s="259"/>
      <c r="BV49" s="259"/>
      <c r="BW49" s="260"/>
      <c r="BX49" s="261" t="s">
        <v>27</v>
      </c>
      <c r="BY49" s="262"/>
      <c r="BZ49" s="262"/>
      <c r="CA49" s="262"/>
      <c r="CB49" s="262"/>
      <c r="CC49" s="262"/>
      <c r="CD49" s="262"/>
      <c r="CE49" s="262"/>
      <c r="CF49" s="262"/>
      <c r="CG49" s="263"/>
      <c r="CH49" s="264" t="s">
        <v>28</v>
      </c>
      <c r="CI49" s="262"/>
      <c r="CJ49" s="262"/>
      <c r="CK49" s="262"/>
      <c r="CL49" s="262"/>
      <c r="CM49" s="262"/>
      <c r="CN49" s="262"/>
      <c r="CO49" s="262"/>
      <c r="CP49" s="262"/>
      <c r="CQ49" s="263"/>
      <c r="CR49" s="264" t="s">
        <v>29</v>
      </c>
      <c r="CS49" s="262"/>
      <c r="CT49" s="262"/>
      <c r="CU49" s="262"/>
      <c r="CV49" s="262"/>
      <c r="CW49" s="262"/>
      <c r="CX49" s="262"/>
      <c r="CY49" s="262"/>
      <c r="CZ49" s="262"/>
      <c r="DA49" s="263"/>
      <c r="DB49" s="264" t="s">
        <v>30</v>
      </c>
      <c r="DC49" s="262"/>
      <c r="DD49" s="262"/>
      <c r="DE49" s="262"/>
      <c r="DF49" s="262"/>
      <c r="DG49" s="262"/>
      <c r="DH49" s="262"/>
      <c r="DI49" s="262"/>
      <c r="DJ49" s="262"/>
      <c r="DK49" s="263"/>
      <c r="DL49" s="264" t="s">
        <v>31</v>
      </c>
      <c r="DM49" s="262"/>
      <c r="DN49" s="262"/>
      <c r="DO49" s="262"/>
      <c r="DP49" s="262"/>
      <c r="DQ49" s="262"/>
      <c r="DR49" s="262"/>
      <c r="DS49" s="262"/>
      <c r="DT49" s="262"/>
      <c r="DU49" s="280"/>
      <c r="DV49" s="281" t="s">
        <v>32</v>
      </c>
      <c r="DW49" s="282"/>
      <c r="DX49" s="282"/>
      <c r="DY49" s="282"/>
      <c r="DZ49" s="282"/>
      <c r="EA49" s="282"/>
      <c r="EB49" s="282"/>
      <c r="EC49" s="282"/>
      <c r="ED49" s="282"/>
      <c r="EE49" s="282"/>
      <c r="EF49" s="282"/>
      <c r="EG49" s="282"/>
      <c r="EH49" s="282"/>
      <c r="EI49" s="283"/>
      <c r="EJ49" s="281" t="s">
        <v>33</v>
      </c>
      <c r="EK49" s="282"/>
      <c r="EL49" s="282"/>
      <c r="EM49" s="282"/>
      <c r="EN49" s="282"/>
      <c r="EO49" s="282"/>
      <c r="EP49" s="282"/>
      <c r="EQ49" s="282"/>
      <c r="ER49" s="282"/>
      <c r="ES49" s="282"/>
      <c r="ET49" s="282"/>
      <c r="EU49" s="282"/>
      <c r="EV49" s="282"/>
      <c r="EW49" s="283"/>
    </row>
    <row r="50" spans="1:153" ht="36" thickTop="1" x14ac:dyDescent="0.25">
      <c r="B50" s="324" t="s">
        <v>17</v>
      </c>
      <c r="C50" s="325"/>
      <c r="D50" s="325"/>
      <c r="E50" s="325"/>
      <c r="F50" s="326"/>
      <c r="G50" s="327" t="str">
        <f ca="1">INDIRECT(ADDRESS(16,34,4,1,EF47))</f>
        <v xml:space="preserve"> Пикульский Никита Петрович</v>
      </c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9"/>
      <c r="AM50" s="324" t="s">
        <v>35</v>
      </c>
      <c r="AN50" s="325"/>
      <c r="AO50" s="325"/>
      <c r="AP50" s="325"/>
      <c r="AQ50" s="326"/>
      <c r="AR50" s="330" t="str">
        <f ca="1">INDIRECT(ADDRESS(16,92,4,1,EF47))</f>
        <v xml:space="preserve"> Назаренко Олег Михайлович</v>
      </c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1"/>
      <c r="BG50" s="331"/>
      <c r="BH50" s="331"/>
      <c r="BI50" s="331"/>
      <c r="BJ50" s="331"/>
      <c r="BK50" s="331"/>
      <c r="BL50" s="331"/>
      <c r="BM50" s="331"/>
      <c r="BN50" s="331"/>
      <c r="BO50" s="331"/>
      <c r="BP50" s="331"/>
      <c r="BQ50" s="331"/>
      <c r="BR50" s="331"/>
      <c r="BS50" s="331"/>
      <c r="BT50" s="331"/>
      <c r="BU50" s="331"/>
      <c r="BV50" s="331"/>
      <c r="BW50" s="332"/>
      <c r="BX50" s="333">
        <f ca="1">INDIRECT(ADDRESS(16,145,4,1,EF47))</f>
        <v>11</v>
      </c>
      <c r="BY50" s="320"/>
      <c r="BZ50" s="320"/>
      <c r="CA50" s="320"/>
      <c r="CB50" s="314" t="str">
        <f ca="1">IF(BX50="","","-")</f>
        <v>-</v>
      </c>
      <c r="CC50" s="314"/>
      <c r="CD50" s="320">
        <f ca="1">INDIRECT(ADDRESS(16,151,4,1,EF47))</f>
        <v>6</v>
      </c>
      <c r="CE50" s="320"/>
      <c r="CF50" s="320"/>
      <c r="CG50" s="321"/>
      <c r="CH50" s="322">
        <f ca="1">INDIRECT(ADDRESS(16,155,4,1,EF47))</f>
        <v>11</v>
      </c>
      <c r="CI50" s="320"/>
      <c r="CJ50" s="320"/>
      <c r="CK50" s="320"/>
      <c r="CL50" s="323" t="str">
        <f ca="1">IF(CH50="","","-")</f>
        <v>-</v>
      </c>
      <c r="CM50" s="323"/>
      <c r="CN50" s="320">
        <f ca="1">INDIRECT(ADDRESS(16,161,4,1,EF47))</f>
        <v>5</v>
      </c>
      <c r="CO50" s="320"/>
      <c r="CP50" s="320"/>
      <c r="CQ50" s="321"/>
      <c r="CR50" s="322">
        <f ca="1">INDIRECT(ADDRESS(16,165,4,1,EF47))</f>
        <v>11</v>
      </c>
      <c r="CS50" s="320"/>
      <c r="CT50" s="320"/>
      <c r="CU50" s="320"/>
      <c r="CV50" s="323" t="str">
        <f ca="1">IF(CR50="","","-")</f>
        <v>-</v>
      </c>
      <c r="CW50" s="323"/>
      <c r="CX50" s="320">
        <f ca="1">INDIRECT(ADDRESS(16,171,4,1,EF47))</f>
        <v>6</v>
      </c>
      <c r="CY50" s="320"/>
      <c r="CZ50" s="320"/>
      <c r="DA50" s="321"/>
      <c r="DB50" s="322" t="str">
        <f ca="1">INDIRECT(ADDRESS(16,175,4,1,EF47))</f>
        <v/>
      </c>
      <c r="DC50" s="320"/>
      <c r="DD50" s="320"/>
      <c r="DE50" s="320"/>
      <c r="DF50" s="323" t="str">
        <f ca="1">IF(DB50="","","-")</f>
        <v/>
      </c>
      <c r="DG50" s="323"/>
      <c r="DH50" s="320" t="str">
        <f ca="1">INDIRECT(ADDRESS(16,181,4,1,EF47))</f>
        <v/>
      </c>
      <c r="DI50" s="320"/>
      <c r="DJ50" s="320"/>
      <c r="DK50" s="321"/>
      <c r="DL50" s="257" t="str">
        <f ca="1">INDIRECT(ADDRESS(16,185,4,1,EF47))</f>
        <v/>
      </c>
      <c r="DM50" s="255"/>
      <c r="DN50" s="255"/>
      <c r="DO50" s="255"/>
      <c r="DP50" s="254" t="str">
        <f ca="1">IF(DL50="","","-")</f>
        <v/>
      </c>
      <c r="DQ50" s="254"/>
      <c r="DR50" s="255" t="str">
        <f ca="1">INDIRECT(ADDRESS(16,191,4,1,EF47))</f>
        <v/>
      </c>
      <c r="DS50" s="255"/>
      <c r="DT50" s="255"/>
      <c r="DU50" s="302"/>
      <c r="DV50" s="309">
        <f ca="1">INDIRECT(ADDRESS(16,195,4,1,EF47))</f>
        <v>3</v>
      </c>
      <c r="DW50" s="310"/>
      <c r="DX50" s="310"/>
      <c r="DY50" s="310"/>
      <c r="DZ50" s="310"/>
      <c r="EA50" s="310"/>
      <c r="EB50" s="311"/>
      <c r="EC50" s="312">
        <f ca="1">INDIRECT(ADDRESS(16,202,4,1,EF47))</f>
        <v>0</v>
      </c>
      <c r="ED50" s="310"/>
      <c r="EE50" s="310"/>
      <c r="EF50" s="310"/>
      <c r="EG50" s="310"/>
      <c r="EH50" s="310"/>
      <c r="EI50" s="313"/>
      <c r="EJ50" s="315">
        <f ca="1">INDIRECT(ADDRESS(16,209,4,1,EF47))</f>
        <v>1</v>
      </c>
      <c r="EK50" s="316"/>
      <c r="EL50" s="316"/>
      <c r="EM50" s="316"/>
      <c r="EN50" s="316"/>
      <c r="EO50" s="316"/>
      <c r="EP50" s="317"/>
      <c r="EQ50" s="318">
        <f ca="1">INDIRECT(ADDRESS(16,216,4,1,EF47))</f>
        <v>0</v>
      </c>
      <c r="ER50" s="316"/>
      <c r="ES50" s="316"/>
      <c r="ET50" s="316"/>
      <c r="EU50" s="316"/>
      <c r="EV50" s="316"/>
      <c r="EW50" s="319"/>
    </row>
    <row r="51" spans="1:153" ht="35.25" customHeight="1" x14ac:dyDescent="0.25">
      <c r="B51" s="305" t="s">
        <v>18</v>
      </c>
      <c r="C51" s="306"/>
      <c r="D51" s="306"/>
      <c r="E51" s="306"/>
      <c r="F51" s="307"/>
      <c r="G51" s="298" t="str">
        <f ca="1">INDIRECT(ADDRESS(17,34,4,1,EF47))</f>
        <v xml:space="preserve"> Рехтин Андрей Павлович</v>
      </c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300"/>
      <c r="AM51" s="305" t="s">
        <v>34</v>
      </c>
      <c r="AN51" s="306"/>
      <c r="AO51" s="306"/>
      <c r="AP51" s="306"/>
      <c r="AQ51" s="307"/>
      <c r="AR51" s="298" t="str">
        <f ca="1">INDIRECT(ADDRESS(17,92,4,1,EF47))</f>
        <v xml:space="preserve"> Талалай Игорь Сергеевич</v>
      </c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299"/>
      <c r="BF51" s="299"/>
      <c r="BG51" s="299"/>
      <c r="BH51" s="299"/>
      <c r="BI51" s="299"/>
      <c r="BJ51" s="299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299"/>
      <c r="BW51" s="300"/>
      <c r="BX51" s="301">
        <f ca="1">INDIRECT(ADDRESS(17,145,4,1,EF47))</f>
        <v>6</v>
      </c>
      <c r="BY51" s="255"/>
      <c r="BZ51" s="255"/>
      <c r="CA51" s="255"/>
      <c r="CB51" s="297" t="str">
        <f ca="1">IF(BX51="","","-")</f>
        <v>-</v>
      </c>
      <c r="CC51" s="297"/>
      <c r="CD51" s="255">
        <f ca="1">INDIRECT(ADDRESS(17,151,4,1,EF47))</f>
        <v>11</v>
      </c>
      <c r="CE51" s="255"/>
      <c r="CF51" s="255"/>
      <c r="CG51" s="256"/>
      <c r="CH51" s="257">
        <f ca="1">INDIRECT(ADDRESS(17,155,4,1,EF47))</f>
        <v>9</v>
      </c>
      <c r="CI51" s="255"/>
      <c r="CJ51" s="255"/>
      <c r="CK51" s="255"/>
      <c r="CL51" s="254" t="str">
        <f ca="1">IF(CH51="","","-")</f>
        <v>-</v>
      </c>
      <c r="CM51" s="254"/>
      <c r="CN51" s="255">
        <f ca="1">INDIRECT(ADDRESS(17,161,4,1,EF47))</f>
        <v>11</v>
      </c>
      <c r="CO51" s="255"/>
      <c r="CP51" s="255"/>
      <c r="CQ51" s="256"/>
      <c r="CR51" s="257">
        <f ca="1">INDIRECT(ADDRESS(17,165,4,1,EF47))</f>
        <v>11</v>
      </c>
      <c r="CS51" s="255"/>
      <c r="CT51" s="255"/>
      <c r="CU51" s="255"/>
      <c r="CV51" s="254" t="str">
        <f ca="1">IF(CR51="","","-")</f>
        <v>-</v>
      </c>
      <c r="CW51" s="254"/>
      <c r="CX51" s="255">
        <f ca="1">INDIRECT(ADDRESS(17,171,4,1,EF47))</f>
        <v>8</v>
      </c>
      <c r="CY51" s="255"/>
      <c r="CZ51" s="255"/>
      <c r="DA51" s="256"/>
      <c r="DB51" s="257">
        <f ca="1">INDIRECT(ADDRESS(17,175,4,1,EF47))</f>
        <v>8</v>
      </c>
      <c r="DC51" s="255"/>
      <c r="DD51" s="255"/>
      <c r="DE51" s="255"/>
      <c r="DF51" s="254" t="str">
        <f ca="1">IF(DB51="","","-")</f>
        <v>-</v>
      </c>
      <c r="DG51" s="254"/>
      <c r="DH51" s="255">
        <f ca="1">INDIRECT(ADDRESS(17,181,4,1,EF47))</f>
        <v>11</v>
      </c>
      <c r="DI51" s="255"/>
      <c r="DJ51" s="255"/>
      <c r="DK51" s="256"/>
      <c r="DL51" s="257" t="str">
        <f ca="1">INDIRECT(ADDRESS(17,185,4,1,EF47))</f>
        <v/>
      </c>
      <c r="DM51" s="255"/>
      <c r="DN51" s="255"/>
      <c r="DO51" s="255"/>
      <c r="DP51" s="254" t="str">
        <f ca="1">IF(DL51="","","-")</f>
        <v/>
      </c>
      <c r="DQ51" s="254"/>
      <c r="DR51" s="255" t="str">
        <f ca="1">INDIRECT(ADDRESS(17,191,4,1,EF47))</f>
        <v/>
      </c>
      <c r="DS51" s="255"/>
      <c r="DT51" s="255"/>
      <c r="DU51" s="302"/>
      <c r="DV51" s="303">
        <f ca="1">INDIRECT(ADDRESS(17,195,4,1,EF47))</f>
        <v>1</v>
      </c>
      <c r="DW51" s="247"/>
      <c r="DX51" s="247"/>
      <c r="DY51" s="247"/>
      <c r="DZ51" s="247"/>
      <c r="EA51" s="247"/>
      <c r="EB51" s="304"/>
      <c r="EC51" s="246">
        <f ca="1">INDIRECT(ADDRESS(17,202,4,1,EF47))</f>
        <v>3</v>
      </c>
      <c r="ED51" s="247"/>
      <c r="EE51" s="247"/>
      <c r="EF51" s="247"/>
      <c r="EG51" s="247"/>
      <c r="EH51" s="247"/>
      <c r="EI51" s="248"/>
      <c r="EJ51" s="249">
        <f ca="1">INDIRECT(ADDRESS(17,209,4,1,EF47))</f>
        <v>0</v>
      </c>
      <c r="EK51" s="250"/>
      <c r="EL51" s="250"/>
      <c r="EM51" s="250"/>
      <c r="EN51" s="250"/>
      <c r="EO51" s="250"/>
      <c r="EP51" s="251"/>
      <c r="EQ51" s="252">
        <f ca="1">INDIRECT(ADDRESS(17,216,4,1,EF47))</f>
        <v>1</v>
      </c>
      <c r="ER51" s="250"/>
      <c r="ES51" s="250"/>
      <c r="ET51" s="250"/>
      <c r="EU51" s="250"/>
      <c r="EV51" s="250"/>
      <c r="EW51" s="253"/>
    </row>
    <row r="52" spans="1:153" ht="35.25" x14ac:dyDescent="0.25">
      <c r="B52" s="305" t="s">
        <v>36</v>
      </c>
      <c r="C52" s="306"/>
      <c r="D52" s="306"/>
      <c r="E52" s="306"/>
      <c r="F52" s="307"/>
      <c r="G52" s="298" t="str">
        <f ca="1">INDIRECT(ADDRESS(18,34,4,1,EF47))</f>
        <v xml:space="preserve"> Третьяков Олег Маратович</v>
      </c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308"/>
      <c r="AM52" s="305" t="s">
        <v>37</v>
      </c>
      <c r="AN52" s="306"/>
      <c r="AO52" s="306"/>
      <c r="AP52" s="306"/>
      <c r="AQ52" s="307"/>
      <c r="AR52" s="298" t="str">
        <f ca="1">INDIRECT(ADDRESS(18,92,4,1,EF47))</f>
        <v xml:space="preserve"> Романовский Александр Витальевич</v>
      </c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299"/>
      <c r="BF52" s="299"/>
      <c r="BG52" s="299"/>
      <c r="BH52" s="299"/>
      <c r="BI52" s="299"/>
      <c r="BJ52" s="299"/>
      <c r="BK52" s="299"/>
      <c r="BL52" s="299"/>
      <c r="BM52" s="299"/>
      <c r="BN52" s="299"/>
      <c r="BO52" s="299"/>
      <c r="BP52" s="299"/>
      <c r="BQ52" s="299"/>
      <c r="BR52" s="299"/>
      <c r="BS52" s="299"/>
      <c r="BT52" s="299"/>
      <c r="BU52" s="299"/>
      <c r="BV52" s="299"/>
      <c r="BW52" s="300"/>
      <c r="BX52" s="301">
        <f ca="1">INDIRECT(ADDRESS(18,145,4,1,EF47))</f>
        <v>11</v>
      </c>
      <c r="BY52" s="255"/>
      <c r="BZ52" s="255"/>
      <c r="CA52" s="255"/>
      <c r="CB52" s="297" t="str">
        <f ca="1">IF(BX52="","","-")</f>
        <v>-</v>
      </c>
      <c r="CC52" s="297"/>
      <c r="CD52" s="255">
        <f ca="1">INDIRECT(ADDRESS(18,151,4,1,EF47))</f>
        <v>8</v>
      </c>
      <c r="CE52" s="255"/>
      <c r="CF52" s="255"/>
      <c r="CG52" s="256"/>
      <c r="CH52" s="257">
        <f ca="1">INDIRECT(ADDRESS(18,155,4,1,EF47))</f>
        <v>11</v>
      </c>
      <c r="CI52" s="255"/>
      <c r="CJ52" s="255"/>
      <c r="CK52" s="255"/>
      <c r="CL52" s="254" t="str">
        <f ca="1">IF(CH52="","","-")</f>
        <v>-</v>
      </c>
      <c r="CM52" s="254"/>
      <c r="CN52" s="255">
        <f ca="1">INDIRECT(ADDRESS(18,161,4,1,EF47))</f>
        <v>4</v>
      </c>
      <c r="CO52" s="255"/>
      <c r="CP52" s="255"/>
      <c r="CQ52" s="256"/>
      <c r="CR52" s="257">
        <f ca="1">INDIRECT(ADDRESS(18,165,4,1,EF47))</f>
        <v>6</v>
      </c>
      <c r="CS52" s="255"/>
      <c r="CT52" s="255"/>
      <c r="CU52" s="255"/>
      <c r="CV52" s="254" t="str">
        <f ca="1">IF(CR52="","","-")</f>
        <v>-</v>
      </c>
      <c r="CW52" s="254"/>
      <c r="CX52" s="255">
        <f ca="1">INDIRECT(ADDRESS(18,171,4,1,EF47))</f>
        <v>11</v>
      </c>
      <c r="CY52" s="255"/>
      <c r="CZ52" s="255"/>
      <c r="DA52" s="256"/>
      <c r="DB52" s="257">
        <f ca="1">INDIRECT(ADDRESS(18,175,4,1,EF47))</f>
        <v>8</v>
      </c>
      <c r="DC52" s="255"/>
      <c r="DD52" s="255"/>
      <c r="DE52" s="255"/>
      <c r="DF52" s="254" t="str">
        <f ca="1">IF(DB52="","","-")</f>
        <v>-</v>
      </c>
      <c r="DG52" s="254"/>
      <c r="DH52" s="255">
        <f ca="1">INDIRECT(ADDRESS(18,181,4,1,EF47))</f>
        <v>11</v>
      </c>
      <c r="DI52" s="255"/>
      <c r="DJ52" s="255"/>
      <c r="DK52" s="256"/>
      <c r="DL52" s="257">
        <f ca="1">INDIRECT(ADDRESS(18,185,4,1,EF47))</f>
        <v>8</v>
      </c>
      <c r="DM52" s="255"/>
      <c r="DN52" s="255"/>
      <c r="DO52" s="255"/>
      <c r="DP52" s="254" t="str">
        <f ca="1">IF(DL52="","","-")</f>
        <v>-</v>
      </c>
      <c r="DQ52" s="254"/>
      <c r="DR52" s="255">
        <f ca="1">INDIRECT(ADDRESS(18,191,4,1,EF47))</f>
        <v>11</v>
      </c>
      <c r="DS52" s="255"/>
      <c r="DT52" s="255"/>
      <c r="DU52" s="302"/>
      <c r="DV52" s="303">
        <f ca="1">INDIRECT(ADDRESS(18,195,4,1,EF47))</f>
        <v>2</v>
      </c>
      <c r="DW52" s="247"/>
      <c r="DX52" s="247"/>
      <c r="DY52" s="247"/>
      <c r="DZ52" s="247"/>
      <c r="EA52" s="247"/>
      <c r="EB52" s="304"/>
      <c r="EC52" s="246">
        <f ca="1">INDIRECT(ADDRESS(18,202,4,1,EF47))</f>
        <v>3</v>
      </c>
      <c r="ED52" s="247"/>
      <c r="EE52" s="247"/>
      <c r="EF52" s="247"/>
      <c r="EG52" s="247"/>
      <c r="EH52" s="247"/>
      <c r="EI52" s="248"/>
      <c r="EJ52" s="249">
        <f ca="1">INDIRECT(ADDRESS(18,209,4,1,EF47))</f>
        <v>0</v>
      </c>
      <c r="EK52" s="250"/>
      <c r="EL52" s="250"/>
      <c r="EM52" s="250"/>
      <c r="EN52" s="250"/>
      <c r="EO52" s="250"/>
      <c r="EP52" s="251"/>
      <c r="EQ52" s="252">
        <f ca="1">INDIRECT(ADDRESS(18,216,4,1,EF47))</f>
        <v>1</v>
      </c>
      <c r="ER52" s="250"/>
      <c r="ES52" s="250"/>
      <c r="ET52" s="250"/>
      <c r="EU52" s="250"/>
      <c r="EV52" s="250"/>
      <c r="EW52" s="253"/>
    </row>
    <row r="53" spans="1:153" ht="35.25" x14ac:dyDescent="0.25">
      <c r="B53" s="305" t="s">
        <v>17</v>
      </c>
      <c r="C53" s="306"/>
      <c r="D53" s="306"/>
      <c r="E53" s="306"/>
      <c r="F53" s="307"/>
      <c r="G53" s="298" t="str">
        <f ca="1">INDIRECT(ADDRESS(19,34,4,1,EF47))</f>
        <v xml:space="preserve"> Пикульский Никита Петрович</v>
      </c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308"/>
      <c r="AM53" s="305" t="s">
        <v>34</v>
      </c>
      <c r="AN53" s="306"/>
      <c r="AO53" s="306"/>
      <c r="AP53" s="306"/>
      <c r="AQ53" s="307"/>
      <c r="AR53" s="298" t="str">
        <f ca="1">INDIRECT(ADDRESS(19,92,4,1,EF47))</f>
        <v xml:space="preserve"> Талалай Игорь Сергеевич</v>
      </c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300"/>
      <c r="BX53" s="301">
        <f ca="1">INDIRECT(ADDRESS(19,145,4,1,EF47))</f>
        <v>7</v>
      </c>
      <c r="BY53" s="255"/>
      <c r="BZ53" s="255"/>
      <c r="CA53" s="255"/>
      <c r="CB53" s="297" t="str">
        <f ca="1">IF(BX53="","","-")</f>
        <v>-</v>
      </c>
      <c r="CC53" s="297"/>
      <c r="CD53" s="255">
        <f ca="1">INDIRECT(ADDRESS(19,151,4,1,EF47))</f>
        <v>11</v>
      </c>
      <c r="CE53" s="255"/>
      <c r="CF53" s="255"/>
      <c r="CG53" s="256"/>
      <c r="CH53" s="257">
        <f ca="1">INDIRECT(ADDRESS(19,155,4,1,EF47))</f>
        <v>5</v>
      </c>
      <c r="CI53" s="255"/>
      <c r="CJ53" s="255"/>
      <c r="CK53" s="255"/>
      <c r="CL53" s="254" t="str">
        <f ca="1">IF(CH53="","","-")</f>
        <v>-</v>
      </c>
      <c r="CM53" s="254"/>
      <c r="CN53" s="255">
        <f ca="1">INDIRECT(ADDRESS(19,161,4,1,EF47))</f>
        <v>11</v>
      </c>
      <c r="CO53" s="255"/>
      <c r="CP53" s="255"/>
      <c r="CQ53" s="256"/>
      <c r="CR53" s="257">
        <f ca="1">INDIRECT(ADDRESS(19,165,4,1,EF47))</f>
        <v>11</v>
      </c>
      <c r="CS53" s="255"/>
      <c r="CT53" s="255"/>
      <c r="CU53" s="255"/>
      <c r="CV53" s="254" t="str">
        <f ca="1">IF(CR53="","","-")</f>
        <v>-</v>
      </c>
      <c r="CW53" s="254"/>
      <c r="CX53" s="255">
        <f ca="1">INDIRECT(ADDRESS(19,171,4,1,EF47))</f>
        <v>13</v>
      </c>
      <c r="CY53" s="255"/>
      <c r="CZ53" s="255"/>
      <c r="DA53" s="256"/>
      <c r="DB53" s="257" t="str">
        <f ca="1">INDIRECT(ADDRESS(19,175,4,1,EF47))</f>
        <v/>
      </c>
      <c r="DC53" s="255"/>
      <c r="DD53" s="255"/>
      <c r="DE53" s="255"/>
      <c r="DF53" s="254" t="str">
        <f ca="1">IF(DB53="","","-")</f>
        <v/>
      </c>
      <c r="DG53" s="254"/>
      <c r="DH53" s="255" t="str">
        <f ca="1">INDIRECT(ADDRESS(19,181,4,1,EF47))</f>
        <v/>
      </c>
      <c r="DI53" s="255"/>
      <c r="DJ53" s="255"/>
      <c r="DK53" s="256"/>
      <c r="DL53" s="257" t="str">
        <f ca="1">INDIRECT(ADDRESS(19,185,4,1,EF47))</f>
        <v/>
      </c>
      <c r="DM53" s="255"/>
      <c r="DN53" s="255"/>
      <c r="DO53" s="255"/>
      <c r="DP53" s="254" t="str">
        <f ca="1">IF(DL53="","","-")</f>
        <v/>
      </c>
      <c r="DQ53" s="254"/>
      <c r="DR53" s="255" t="str">
        <f ca="1">INDIRECT(ADDRESS(19,191,4,1,EF47))</f>
        <v/>
      </c>
      <c r="DS53" s="255"/>
      <c r="DT53" s="255"/>
      <c r="DU53" s="302"/>
      <c r="DV53" s="303">
        <f ca="1">INDIRECT(ADDRESS(19,195,4,1,EF47))</f>
        <v>0</v>
      </c>
      <c r="DW53" s="247"/>
      <c r="DX53" s="247"/>
      <c r="DY53" s="247"/>
      <c r="DZ53" s="247"/>
      <c r="EA53" s="247"/>
      <c r="EB53" s="304"/>
      <c r="EC53" s="246">
        <f ca="1">INDIRECT(ADDRESS(19,202,4,1,EF47))</f>
        <v>3</v>
      </c>
      <c r="ED53" s="247"/>
      <c r="EE53" s="247"/>
      <c r="EF53" s="247"/>
      <c r="EG53" s="247"/>
      <c r="EH53" s="247"/>
      <c r="EI53" s="248"/>
      <c r="EJ53" s="249">
        <f ca="1">INDIRECT(ADDRESS(19,209,4,1,EF47))</f>
        <v>0</v>
      </c>
      <c r="EK53" s="250"/>
      <c r="EL53" s="250"/>
      <c r="EM53" s="250"/>
      <c r="EN53" s="250"/>
      <c r="EO53" s="250"/>
      <c r="EP53" s="251"/>
      <c r="EQ53" s="252">
        <f ca="1">INDIRECT(ADDRESS(19,216,4,1,EF47))</f>
        <v>1</v>
      </c>
      <c r="ER53" s="250"/>
      <c r="ES53" s="250"/>
      <c r="ET53" s="250"/>
      <c r="EU53" s="250"/>
      <c r="EV53" s="250"/>
      <c r="EW53" s="253"/>
    </row>
    <row r="54" spans="1:153" ht="36" thickBot="1" x14ac:dyDescent="0.3">
      <c r="B54" s="290" t="s">
        <v>18</v>
      </c>
      <c r="C54" s="291"/>
      <c r="D54" s="291"/>
      <c r="E54" s="291"/>
      <c r="F54" s="292"/>
      <c r="G54" s="293" t="str">
        <f ca="1">INDIRECT(ADDRESS(20,34,4,1,EF47))</f>
        <v xml:space="preserve"> Рехтин Андрей Павлович</v>
      </c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5"/>
      <c r="AM54" s="290" t="s">
        <v>35</v>
      </c>
      <c r="AN54" s="291"/>
      <c r="AO54" s="291"/>
      <c r="AP54" s="291"/>
      <c r="AQ54" s="292"/>
      <c r="AR54" s="293" t="str">
        <f ca="1">INDIRECT(ADDRESS(20,92,4,1,EF47))</f>
        <v xml:space="preserve"> Назаренко Олег Михайлович</v>
      </c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6"/>
      <c r="BX54" s="244" t="str">
        <f ca="1">INDIRECT(ADDRESS(20,145,4,1,EF47))</f>
        <v/>
      </c>
      <c r="BY54" s="233"/>
      <c r="BZ54" s="233"/>
      <c r="CA54" s="233"/>
      <c r="CB54" s="245" t="str">
        <f ca="1">IF(BX54="","","-")</f>
        <v/>
      </c>
      <c r="CC54" s="245"/>
      <c r="CD54" s="233" t="str">
        <f ca="1">INDIRECT(ADDRESS(20,151,4,1,EF47))</f>
        <v/>
      </c>
      <c r="CE54" s="233"/>
      <c r="CF54" s="233"/>
      <c r="CG54" s="243"/>
      <c r="CH54" s="232" t="str">
        <f ca="1">INDIRECT(ADDRESS(20,155,4,1,EF47))</f>
        <v/>
      </c>
      <c r="CI54" s="233"/>
      <c r="CJ54" s="233"/>
      <c r="CK54" s="233"/>
      <c r="CL54" s="234" t="str">
        <f ca="1">IF(CH54="","","-")</f>
        <v/>
      </c>
      <c r="CM54" s="234"/>
      <c r="CN54" s="233" t="str">
        <f ca="1">INDIRECT(ADDRESS(20,161,4,1,EF47))</f>
        <v/>
      </c>
      <c r="CO54" s="233"/>
      <c r="CP54" s="233"/>
      <c r="CQ54" s="243"/>
      <c r="CR54" s="232" t="str">
        <f ca="1">INDIRECT(ADDRESS(20,165,4,1,EF47))</f>
        <v/>
      </c>
      <c r="CS54" s="233"/>
      <c r="CT54" s="233"/>
      <c r="CU54" s="233"/>
      <c r="CV54" s="234" t="str">
        <f ca="1">IF(CR54="","","-")</f>
        <v/>
      </c>
      <c r="CW54" s="234"/>
      <c r="CX54" s="233" t="str">
        <f ca="1">INDIRECT(ADDRESS(20,171,4,1,EF47))</f>
        <v/>
      </c>
      <c r="CY54" s="233"/>
      <c r="CZ54" s="233"/>
      <c r="DA54" s="243"/>
      <c r="DB54" s="232" t="str">
        <f ca="1">INDIRECT(ADDRESS(20,175,4,1,EF47))</f>
        <v/>
      </c>
      <c r="DC54" s="233"/>
      <c r="DD54" s="233"/>
      <c r="DE54" s="233"/>
      <c r="DF54" s="234" t="str">
        <f ca="1">IF(DB54="","","-")</f>
        <v/>
      </c>
      <c r="DG54" s="234"/>
      <c r="DH54" s="233" t="str">
        <f ca="1">INDIRECT(ADDRESS(20,181,4,1,EF47))</f>
        <v/>
      </c>
      <c r="DI54" s="233"/>
      <c r="DJ54" s="233"/>
      <c r="DK54" s="243"/>
      <c r="DL54" s="232" t="str">
        <f ca="1">INDIRECT(ADDRESS(20,185,4,1,EF47))</f>
        <v/>
      </c>
      <c r="DM54" s="233"/>
      <c r="DN54" s="233"/>
      <c r="DO54" s="233"/>
      <c r="DP54" s="234" t="str">
        <f ca="1">IF(DL54="","","-")</f>
        <v/>
      </c>
      <c r="DQ54" s="234"/>
      <c r="DR54" s="233" t="str">
        <f ca="1">INDIRECT(ADDRESS(20,191,4,1,EF47))</f>
        <v/>
      </c>
      <c r="DS54" s="233"/>
      <c r="DT54" s="233"/>
      <c r="DU54" s="235"/>
      <c r="DV54" s="236" t="str">
        <f ca="1">INDIRECT(ADDRESS(20,195,4,1,EF47))</f>
        <v/>
      </c>
      <c r="DW54" s="237"/>
      <c r="DX54" s="237"/>
      <c r="DY54" s="237"/>
      <c r="DZ54" s="237"/>
      <c r="EA54" s="237"/>
      <c r="EB54" s="238"/>
      <c r="EC54" s="239" t="str">
        <f ca="1">INDIRECT(ADDRESS(20,202,4,1,EF47))</f>
        <v/>
      </c>
      <c r="ED54" s="237"/>
      <c r="EE54" s="237"/>
      <c r="EF54" s="237"/>
      <c r="EG54" s="237"/>
      <c r="EH54" s="237"/>
      <c r="EI54" s="240"/>
      <c r="EJ54" s="241" t="str">
        <f ca="1">INDIRECT(ADDRESS(20,209,4,1,EF47))</f>
        <v/>
      </c>
      <c r="EK54" s="217"/>
      <c r="EL54" s="217"/>
      <c r="EM54" s="217"/>
      <c r="EN54" s="217"/>
      <c r="EO54" s="217"/>
      <c r="EP54" s="242"/>
      <c r="EQ54" s="216" t="str">
        <f ca="1">INDIRECT(ADDRESS(20,216,4,1,EF47))</f>
        <v/>
      </c>
      <c r="ER54" s="217"/>
      <c r="ES54" s="217"/>
      <c r="ET54" s="217"/>
      <c r="EU54" s="217"/>
      <c r="EV54" s="217"/>
      <c r="EW54" s="218"/>
    </row>
    <row r="55" spans="1:153" ht="36.75" thickTop="1" thickBot="1" x14ac:dyDescent="0.3">
      <c r="B55" s="219" t="s">
        <v>38</v>
      </c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20" t="str">
        <f ca="1">INDIRECT(ADDRESS(21,87,4,1,EF47))</f>
        <v>«СШ №3(2)» г.Симферополь</v>
      </c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  <c r="CP55" s="220"/>
      <c r="CQ55" s="220"/>
      <c r="CR55" s="220"/>
      <c r="CS55" s="220"/>
      <c r="CT55" s="220"/>
      <c r="CU55" s="220"/>
      <c r="CV55" s="220"/>
      <c r="CW55" s="220"/>
      <c r="CX55" s="220"/>
      <c r="CY55" s="220"/>
      <c r="CZ55" s="220"/>
      <c r="DA55" s="220"/>
      <c r="DB55" s="220"/>
      <c r="DC55" s="220"/>
      <c r="DD55" s="220"/>
      <c r="DE55" s="220"/>
      <c r="DF55" s="220"/>
      <c r="DG55" s="220"/>
      <c r="DH55" s="220"/>
      <c r="DI55" s="220"/>
      <c r="DJ55" s="220"/>
      <c r="DK55" s="220"/>
      <c r="DL55" s="220"/>
      <c r="DM55" s="220"/>
      <c r="DN55" s="220"/>
      <c r="DO55" s="220"/>
      <c r="DP55" s="220"/>
      <c r="DQ55" s="220"/>
      <c r="DR55" s="220"/>
      <c r="DS55" s="220"/>
      <c r="DT55" s="220"/>
      <c r="DU55" s="220"/>
      <c r="DV55" s="221">
        <f ca="1">INDIRECT(ADDRESS(21,195,4,1,EF47))</f>
        <v>6</v>
      </c>
      <c r="DW55" s="222"/>
      <c r="DX55" s="222"/>
      <c r="DY55" s="222"/>
      <c r="DZ55" s="222"/>
      <c r="EA55" s="222"/>
      <c r="EB55" s="223"/>
      <c r="EC55" s="224">
        <f ca="1">INDIRECT(ADDRESS(21,202,4,1,EF47))</f>
        <v>9</v>
      </c>
      <c r="ED55" s="225"/>
      <c r="EE55" s="225"/>
      <c r="EF55" s="225"/>
      <c r="EG55" s="225"/>
      <c r="EH55" s="225"/>
      <c r="EI55" s="226"/>
      <c r="EJ55" s="227">
        <f ca="1">INDIRECT(ADDRESS(21,209,4,1,EF47))</f>
        <v>1</v>
      </c>
      <c r="EK55" s="228"/>
      <c r="EL55" s="228"/>
      <c r="EM55" s="228"/>
      <c r="EN55" s="228"/>
      <c r="EO55" s="228"/>
      <c r="EP55" s="229"/>
      <c r="EQ55" s="230">
        <f ca="1">INDIRECT(ADDRESS(21,216,4,1,EF47))</f>
        <v>3</v>
      </c>
      <c r="ER55" s="228"/>
      <c r="ES55" s="228"/>
      <c r="ET55" s="228"/>
      <c r="EU55" s="228"/>
      <c r="EV55" s="228"/>
      <c r="EW55" s="231"/>
    </row>
    <row r="56" spans="1:153" ht="15.75" thickTop="1" x14ac:dyDescent="0.25">
      <c r="A56" s="132"/>
    </row>
  </sheetData>
  <mergeCells count="711">
    <mergeCell ref="G6:AL6"/>
    <mergeCell ref="AM6:AQ6"/>
    <mergeCell ref="AR6:BW6"/>
    <mergeCell ref="BX5:CG5"/>
    <mergeCell ref="CN6:CQ6"/>
    <mergeCell ref="DB5:DK5"/>
    <mergeCell ref="EJ6:EP6"/>
    <mergeCell ref="EO2:EW2"/>
    <mergeCell ref="B3:AL3"/>
    <mergeCell ref="AM3:BW3"/>
    <mergeCell ref="BY3:DR3"/>
    <mergeCell ref="DT3:EE3"/>
    <mergeCell ref="EF3:EN3"/>
    <mergeCell ref="EO3:EW3"/>
    <mergeCell ref="B5:AL5"/>
    <mergeCell ref="AM5:BW5"/>
    <mergeCell ref="CH5:CQ5"/>
    <mergeCell ref="CR5:DA5"/>
    <mergeCell ref="DL5:DU5"/>
    <mergeCell ref="B2:AL2"/>
    <mergeCell ref="AM2:BW2"/>
    <mergeCell ref="BY2:DR2"/>
    <mergeCell ref="DT2:EE2"/>
    <mergeCell ref="EF2:EN2"/>
    <mergeCell ref="DV5:EI5"/>
    <mergeCell ref="EJ5:EW5"/>
    <mergeCell ref="DV6:EB6"/>
    <mergeCell ref="EC6:EI6"/>
    <mergeCell ref="EQ6:EW6"/>
    <mergeCell ref="B7:F7"/>
    <mergeCell ref="G7:AL7"/>
    <mergeCell ref="AM7:AQ7"/>
    <mergeCell ref="DB6:DE6"/>
    <mergeCell ref="DF6:DG6"/>
    <mergeCell ref="DH6:DK6"/>
    <mergeCell ref="DL6:DO6"/>
    <mergeCell ref="DP6:DQ6"/>
    <mergeCell ref="DR6:DU6"/>
    <mergeCell ref="CH6:CK6"/>
    <mergeCell ref="CL6:CM6"/>
    <mergeCell ref="AR7:BW7"/>
    <mergeCell ref="BX7:CA7"/>
    <mergeCell ref="CB7:CC7"/>
    <mergeCell ref="CV6:CW6"/>
    <mergeCell ref="CX6:DA6"/>
    <mergeCell ref="BX6:CA6"/>
    <mergeCell ref="CB6:CC6"/>
    <mergeCell ref="CD6:CG6"/>
    <mergeCell ref="CR6:CU6"/>
    <mergeCell ref="B6:F6"/>
    <mergeCell ref="EQ8:EW8"/>
    <mergeCell ref="CV8:CW8"/>
    <mergeCell ref="CX8:DA8"/>
    <mergeCell ref="DB8:DE8"/>
    <mergeCell ref="DF8:DG8"/>
    <mergeCell ref="DH8:DK8"/>
    <mergeCell ref="DL8:DO8"/>
    <mergeCell ref="CD7:CG7"/>
    <mergeCell ref="CH7:CK7"/>
    <mergeCell ref="CL7:CM7"/>
    <mergeCell ref="CN7:CQ7"/>
    <mergeCell ref="CR7:CU7"/>
    <mergeCell ref="CV7:CW7"/>
    <mergeCell ref="DR7:DU7"/>
    <mergeCell ref="DV7:EB7"/>
    <mergeCell ref="EC7:EI7"/>
    <mergeCell ref="EJ7:EP7"/>
    <mergeCell ref="CX7:DA7"/>
    <mergeCell ref="DB7:DE7"/>
    <mergeCell ref="DF7:DG7"/>
    <mergeCell ref="DH7:DK7"/>
    <mergeCell ref="DL7:DO7"/>
    <mergeCell ref="DP7:DQ7"/>
    <mergeCell ref="EQ7:EW7"/>
    <mergeCell ref="EQ9:EW9"/>
    <mergeCell ref="B10:F10"/>
    <mergeCell ref="G10:AL10"/>
    <mergeCell ref="CX9:DA9"/>
    <mergeCell ref="DB9:DE9"/>
    <mergeCell ref="DF9:DG9"/>
    <mergeCell ref="DH9:DK9"/>
    <mergeCell ref="CN8:CQ8"/>
    <mergeCell ref="CR8:CU8"/>
    <mergeCell ref="AM8:AQ8"/>
    <mergeCell ref="AR8:BW8"/>
    <mergeCell ref="BX8:CA8"/>
    <mergeCell ref="CB9:CC9"/>
    <mergeCell ref="AR9:BW9"/>
    <mergeCell ref="BX9:CA9"/>
    <mergeCell ref="B9:F9"/>
    <mergeCell ref="G9:AL9"/>
    <mergeCell ref="AM9:AQ9"/>
    <mergeCell ref="DP8:DQ8"/>
    <mergeCell ref="DR8:DU8"/>
    <mergeCell ref="DV8:EB8"/>
    <mergeCell ref="CB8:CC8"/>
    <mergeCell ref="CD8:CG8"/>
    <mergeCell ref="CH8:CK8"/>
    <mergeCell ref="B8:F8"/>
    <mergeCell ref="G8:AL8"/>
    <mergeCell ref="EJ9:EP9"/>
    <mergeCell ref="CL8:CM8"/>
    <mergeCell ref="EC8:EI8"/>
    <mergeCell ref="EJ8:EP8"/>
    <mergeCell ref="DR9:DU9"/>
    <mergeCell ref="DV9:EB9"/>
    <mergeCell ref="EC9:EI9"/>
    <mergeCell ref="DL9:DO9"/>
    <mergeCell ref="DP9:DQ9"/>
    <mergeCell ref="B11:AL11"/>
    <mergeCell ref="AM11:DU11"/>
    <mergeCell ref="DV11:EB11"/>
    <mergeCell ref="EC11:EI11"/>
    <mergeCell ref="CD9:CG9"/>
    <mergeCell ref="CH9:CK9"/>
    <mergeCell ref="CL9:CM9"/>
    <mergeCell ref="CN9:CQ9"/>
    <mergeCell ref="CR9:CU9"/>
    <mergeCell ref="CV9:CW9"/>
    <mergeCell ref="EJ11:EP11"/>
    <mergeCell ref="EQ11:EW11"/>
    <mergeCell ref="AM10:AQ10"/>
    <mergeCell ref="AR10:BW10"/>
    <mergeCell ref="BX10:CA10"/>
    <mergeCell ref="CB10:CC10"/>
    <mergeCell ref="CD10:CG10"/>
    <mergeCell ref="CH10:CK10"/>
    <mergeCell ref="CL10:CM10"/>
    <mergeCell ref="CN10:CQ10"/>
    <mergeCell ref="CR10:CU10"/>
    <mergeCell ref="EJ10:EP10"/>
    <mergeCell ref="EQ10:EW10"/>
    <mergeCell ref="CV10:CW10"/>
    <mergeCell ref="CX10:DA10"/>
    <mergeCell ref="DB10:DE10"/>
    <mergeCell ref="DF10:DG10"/>
    <mergeCell ref="DH10:DK10"/>
    <mergeCell ref="DL10:DO10"/>
    <mergeCell ref="DP10:DQ10"/>
    <mergeCell ref="DR10:DU10"/>
    <mergeCell ref="DV10:EB10"/>
    <mergeCell ref="EC10:EI10"/>
    <mergeCell ref="B14:AL14"/>
    <mergeCell ref="AM14:BW14"/>
    <mergeCell ref="BY14:DR14"/>
    <mergeCell ref="DT14:EE14"/>
    <mergeCell ref="EF14:EN14"/>
    <mergeCell ref="EO14:EW14"/>
    <mergeCell ref="B13:AL13"/>
    <mergeCell ref="AM13:BW13"/>
    <mergeCell ref="BY13:DR13"/>
    <mergeCell ref="DT13:EE13"/>
    <mergeCell ref="EF13:EN13"/>
    <mergeCell ref="EO13:EW13"/>
    <mergeCell ref="DL16:DU16"/>
    <mergeCell ref="DV16:EI16"/>
    <mergeCell ref="EJ16:EW16"/>
    <mergeCell ref="B17:F17"/>
    <mergeCell ref="G17:AL17"/>
    <mergeCell ref="AM17:AQ17"/>
    <mergeCell ref="AR17:BW17"/>
    <mergeCell ref="BX17:CA17"/>
    <mergeCell ref="CB17:CC17"/>
    <mergeCell ref="CD17:CG17"/>
    <mergeCell ref="B16:AL16"/>
    <mergeCell ref="AM16:BW16"/>
    <mergeCell ref="BX16:CG16"/>
    <mergeCell ref="CH16:CQ16"/>
    <mergeCell ref="CR16:DA16"/>
    <mergeCell ref="DB16:DK16"/>
    <mergeCell ref="DV17:EB17"/>
    <mergeCell ref="EC17:EI17"/>
    <mergeCell ref="EJ17:EP17"/>
    <mergeCell ref="EQ17:EW17"/>
    <mergeCell ref="DL17:DO17"/>
    <mergeCell ref="DP17:DQ17"/>
    <mergeCell ref="DR17:DU17"/>
    <mergeCell ref="G18:AL18"/>
    <mergeCell ref="AM18:AQ18"/>
    <mergeCell ref="AR18:BW18"/>
    <mergeCell ref="BX18:CA18"/>
    <mergeCell ref="CB18:CC18"/>
    <mergeCell ref="DB17:DE17"/>
    <mergeCell ref="DF17:DG17"/>
    <mergeCell ref="DH17:DK17"/>
    <mergeCell ref="CH17:CK17"/>
    <mergeCell ref="CL17:CM17"/>
    <mergeCell ref="CN17:CQ17"/>
    <mergeCell ref="CR17:CU17"/>
    <mergeCell ref="CV17:CW17"/>
    <mergeCell ref="CX17:DA17"/>
    <mergeCell ref="EQ18:EW18"/>
    <mergeCell ref="B19:F19"/>
    <mergeCell ref="G19:AL19"/>
    <mergeCell ref="AM19:AQ19"/>
    <mergeCell ref="AR19:BW19"/>
    <mergeCell ref="BX19:CA19"/>
    <mergeCell ref="CX18:DA18"/>
    <mergeCell ref="DB18:DE18"/>
    <mergeCell ref="DF18:DG18"/>
    <mergeCell ref="DH18:DK18"/>
    <mergeCell ref="DL18:DO18"/>
    <mergeCell ref="DP18:DQ18"/>
    <mergeCell ref="CD18:CG18"/>
    <mergeCell ref="CH18:CK18"/>
    <mergeCell ref="CL18:CM18"/>
    <mergeCell ref="CN18:CQ18"/>
    <mergeCell ref="CR18:CU18"/>
    <mergeCell ref="CV18:CW18"/>
    <mergeCell ref="CB19:CC19"/>
    <mergeCell ref="CD19:CG19"/>
    <mergeCell ref="CH19:CK19"/>
    <mergeCell ref="CL19:CM19"/>
    <mergeCell ref="CN19:CQ19"/>
    <mergeCell ref="B18:F18"/>
    <mergeCell ref="CR19:CU19"/>
    <mergeCell ref="DR18:DU18"/>
    <mergeCell ref="DV18:EB18"/>
    <mergeCell ref="EC18:EI18"/>
    <mergeCell ref="DP19:DQ19"/>
    <mergeCell ref="DR19:DU19"/>
    <mergeCell ref="DV19:EB19"/>
    <mergeCell ref="EC19:EI19"/>
    <mergeCell ref="EJ19:EP19"/>
    <mergeCell ref="EJ18:EP18"/>
    <mergeCell ref="EQ19:EW19"/>
    <mergeCell ref="CV19:CW19"/>
    <mergeCell ref="CX19:DA19"/>
    <mergeCell ref="DB19:DE19"/>
    <mergeCell ref="DF19:DG19"/>
    <mergeCell ref="DH19:DK19"/>
    <mergeCell ref="DL19:DO19"/>
    <mergeCell ref="EJ20:EP20"/>
    <mergeCell ref="EQ20:EW20"/>
    <mergeCell ref="DL20:DO20"/>
    <mergeCell ref="DP20:DQ20"/>
    <mergeCell ref="B21:F21"/>
    <mergeCell ref="G21:AL21"/>
    <mergeCell ref="AM21:AQ21"/>
    <mergeCell ref="AR21:BW21"/>
    <mergeCell ref="BX21:CA21"/>
    <mergeCell ref="CX20:DA20"/>
    <mergeCell ref="DB20:DE20"/>
    <mergeCell ref="DF20:DG20"/>
    <mergeCell ref="DH20:DK20"/>
    <mergeCell ref="CD20:CG20"/>
    <mergeCell ref="CH20:CK20"/>
    <mergeCell ref="CL20:CM20"/>
    <mergeCell ref="CN20:CQ20"/>
    <mergeCell ref="CR20:CU20"/>
    <mergeCell ref="CV20:CW20"/>
    <mergeCell ref="B20:F20"/>
    <mergeCell ref="G20:AL20"/>
    <mergeCell ref="AM20:AQ20"/>
    <mergeCell ref="AR20:BW20"/>
    <mergeCell ref="BX20:CA20"/>
    <mergeCell ref="CB21:CC21"/>
    <mergeCell ref="CD21:CG21"/>
    <mergeCell ref="CH21:CK21"/>
    <mergeCell ref="CL21:CM21"/>
    <mergeCell ref="CN21:CQ21"/>
    <mergeCell ref="CR21:CU21"/>
    <mergeCell ref="DR20:DU20"/>
    <mergeCell ref="DV20:EB20"/>
    <mergeCell ref="EC20:EI20"/>
    <mergeCell ref="CB20:CC20"/>
    <mergeCell ref="DP21:DQ21"/>
    <mergeCell ref="DR21:DU21"/>
    <mergeCell ref="DV21:EB21"/>
    <mergeCell ref="EC21:EI21"/>
    <mergeCell ref="EJ21:EP21"/>
    <mergeCell ref="EQ21:EW21"/>
    <mergeCell ref="CV21:CW21"/>
    <mergeCell ref="CX21:DA21"/>
    <mergeCell ref="DB21:DE21"/>
    <mergeCell ref="DF21:DG21"/>
    <mergeCell ref="DH21:DK21"/>
    <mergeCell ref="DL21:DO21"/>
    <mergeCell ref="DL27:DU27"/>
    <mergeCell ref="B24:AL24"/>
    <mergeCell ref="AM24:BW24"/>
    <mergeCell ref="BY24:DR24"/>
    <mergeCell ref="DT24:EE24"/>
    <mergeCell ref="EF24:EN24"/>
    <mergeCell ref="EO24:EW24"/>
    <mergeCell ref="B22:AL22"/>
    <mergeCell ref="AM22:DU22"/>
    <mergeCell ref="DV22:EB22"/>
    <mergeCell ref="EC22:EI22"/>
    <mergeCell ref="EJ22:EP22"/>
    <mergeCell ref="EQ22:EW22"/>
    <mergeCell ref="EJ28:EP28"/>
    <mergeCell ref="EQ28:EW28"/>
    <mergeCell ref="B29:F29"/>
    <mergeCell ref="G29:AL29"/>
    <mergeCell ref="AM29:AQ29"/>
    <mergeCell ref="AR29:BW29"/>
    <mergeCell ref="BX29:CA29"/>
    <mergeCell ref="CX28:DA28"/>
    <mergeCell ref="DB28:DE28"/>
    <mergeCell ref="DF28:DG28"/>
    <mergeCell ref="DH28:DK28"/>
    <mergeCell ref="DL28:DO28"/>
    <mergeCell ref="DP28:DQ28"/>
    <mergeCell ref="CD28:CG28"/>
    <mergeCell ref="CH28:CK28"/>
    <mergeCell ref="CL28:CM28"/>
    <mergeCell ref="CN28:CQ28"/>
    <mergeCell ref="CR28:CU28"/>
    <mergeCell ref="CV28:CW28"/>
    <mergeCell ref="B28:F28"/>
    <mergeCell ref="G28:AL28"/>
    <mergeCell ref="AM28:AQ28"/>
    <mergeCell ref="AR28:BW28"/>
    <mergeCell ref="BX28:CA28"/>
    <mergeCell ref="CB29:CC29"/>
    <mergeCell ref="CD29:CG29"/>
    <mergeCell ref="CH29:CK29"/>
    <mergeCell ref="CL29:CM29"/>
    <mergeCell ref="CN29:CQ29"/>
    <mergeCell ref="CR29:CU29"/>
    <mergeCell ref="DR28:DU28"/>
    <mergeCell ref="DV28:EB28"/>
    <mergeCell ref="EC28:EI28"/>
    <mergeCell ref="CB28:CC28"/>
    <mergeCell ref="DP29:DQ29"/>
    <mergeCell ref="DR29:DU29"/>
    <mergeCell ref="DV29:EB29"/>
    <mergeCell ref="EC29:EI29"/>
    <mergeCell ref="EJ29:EP29"/>
    <mergeCell ref="EQ29:EW29"/>
    <mergeCell ref="CV29:CW29"/>
    <mergeCell ref="CX29:DA29"/>
    <mergeCell ref="DB29:DE29"/>
    <mergeCell ref="DF29:DG29"/>
    <mergeCell ref="DH29:DK29"/>
    <mergeCell ref="DL29:DO29"/>
    <mergeCell ref="EJ30:EP30"/>
    <mergeCell ref="EQ30:EW30"/>
    <mergeCell ref="DL30:DO30"/>
    <mergeCell ref="DP30:DQ30"/>
    <mergeCell ref="CX30:DA30"/>
    <mergeCell ref="DB30:DE30"/>
    <mergeCell ref="DF30:DG30"/>
    <mergeCell ref="DH30:DK30"/>
    <mergeCell ref="B30:F30"/>
    <mergeCell ref="G30:AL30"/>
    <mergeCell ref="AM30:AQ30"/>
    <mergeCell ref="AR30:BW30"/>
    <mergeCell ref="BX30:CA30"/>
    <mergeCell ref="CB31:CC31"/>
    <mergeCell ref="CD31:CG31"/>
    <mergeCell ref="CH31:CK31"/>
    <mergeCell ref="CL31:CM31"/>
    <mergeCell ref="AR31:BW31"/>
    <mergeCell ref="BX31:CA31"/>
    <mergeCell ref="CD30:CG30"/>
    <mergeCell ref="CH30:CK30"/>
    <mergeCell ref="CL30:CM30"/>
    <mergeCell ref="EJ39:EP39"/>
    <mergeCell ref="EQ39:EW39"/>
    <mergeCell ref="EQ32:EW32"/>
    <mergeCell ref="DT36:EE36"/>
    <mergeCell ref="EF36:EN36"/>
    <mergeCell ref="EO36:EW36"/>
    <mergeCell ref="DV38:EI38"/>
    <mergeCell ref="EJ38:EW38"/>
    <mergeCell ref="CN30:CQ30"/>
    <mergeCell ref="CR30:CU30"/>
    <mergeCell ref="CV30:CW30"/>
    <mergeCell ref="EQ31:EW31"/>
    <mergeCell ref="CV31:CW31"/>
    <mergeCell ref="CX31:DA31"/>
    <mergeCell ref="DB31:DE31"/>
    <mergeCell ref="DF31:DG31"/>
    <mergeCell ref="DH31:DK31"/>
    <mergeCell ref="DL31:DO31"/>
    <mergeCell ref="CN31:CQ31"/>
    <mergeCell ref="CR31:CU31"/>
    <mergeCell ref="DP31:DQ31"/>
    <mergeCell ref="B39:F39"/>
    <mergeCell ref="G39:AL39"/>
    <mergeCell ref="AM39:AQ39"/>
    <mergeCell ref="AR39:BW39"/>
    <mergeCell ref="BX39:CA39"/>
    <mergeCell ref="DP39:DQ39"/>
    <mergeCell ref="DR39:DU39"/>
    <mergeCell ref="DV39:EB39"/>
    <mergeCell ref="EC39:EI39"/>
    <mergeCell ref="CV39:CW39"/>
    <mergeCell ref="CX39:DA39"/>
    <mergeCell ref="DB39:DE39"/>
    <mergeCell ref="DF39:DG39"/>
    <mergeCell ref="DH39:DK39"/>
    <mergeCell ref="DL39:DO39"/>
    <mergeCell ref="CB39:CC39"/>
    <mergeCell ref="CD39:CG39"/>
    <mergeCell ref="CH39:CK39"/>
    <mergeCell ref="CL39:CM39"/>
    <mergeCell ref="CN39:CQ39"/>
    <mergeCell ref="CR39:CU39"/>
    <mergeCell ref="B40:F40"/>
    <mergeCell ref="G40:AL40"/>
    <mergeCell ref="AM40:AQ40"/>
    <mergeCell ref="AR40:BW40"/>
    <mergeCell ref="BX40:CA40"/>
    <mergeCell ref="CB40:CC40"/>
    <mergeCell ref="CH41:CK41"/>
    <mergeCell ref="CL41:CM41"/>
    <mergeCell ref="CN41:CQ41"/>
    <mergeCell ref="G41:AL41"/>
    <mergeCell ref="AM41:AQ41"/>
    <mergeCell ref="AR41:BW41"/>
    <mergeCell ref="BX41:CA41"/>
    <mergeCell ref="CX40:DA40"/>
    <mergeCell ref="DB40:DE40"/>
    <mergeCell ref="DF40:DG40"/>
    <mergeCell ref="DH40:DK40"/>
    <mergeCell ref="CD40:CG40"/>
    <mergeCell ref="CH40:CK40"/>
    <mergeCell ref="CL40:CM40"/>
    <mergeCell ref="CN40:CQ40"/>
    <mergeCell ref="CR40:CU40"/>
    <mergeCell ref="CV40:CW40"/>
    <mergeCell ref="DR40:DU40"/>
    <mergeCell ref="DV40:EB40"/>
    <mergeCell ref="EC40:EI40"/>
    <mergeCell ref="EJ40:EP40"/>
    <mergeCell ref="EQ40:EW40"/>
    <mergeCell ref="DL40:DO40"/>
    <mergeCell ref="DP40:DQ40"/>
    <mergeCell ref="B44:AL44"/>
    <mergeCell ref="CN43:CQ43"/>
    <mergeCell ref="CR43:CU43"/>
    <mergeCell ref="CV43:CW43"/>
    <mergeCell ref="CX43:DA43"/>
    <mergeCell ref="DV42:EB42"/>
    <mergeCell ref="EC42:EI42"/>
    <mergeCell ref="EJ42:EP42"/>
    <mergeCell ref="EQ42:EW42"/>
    <mergeCell ref="CL42:CM42"/>
    <mergeCell ref="CN42:CQ42"/>
    <mergeCell ref="CR42:CU42"/>
    <mergeCell ref="CV42:CW42"/>
    <mergeCell ref="B42:F42"/>
    <mergeCell ref="G42:AL42"/>
    <mergeCell ref="AM42:AQ42"/>
    <mergeCell ref="B41:F41"/>
    <mergeCell ref="EJ50:EP50"/>
    <mergeCell ref="EQ50:EW50"/>
    <mergeCell ref="B51:F51"/>
    <mergeCell ref="G51:AL51"/>
    <mergeCell ref="AM51:AQ51"/>
    <mergeCell ref="AR51:BW51"/>
    <mergeCell ref="BX51:CA51"/>
    <mergeCell ref="CX50:DA50"/>
    <mergeCell ref="DB50:DE50"/>
    <mergeCell ref="DF50:DG50"/>
    <mergeCell ref="DH50:DK50"/>
    <mergeCell ref="DL50:DO50"/>
    <mergeCell ref="DP50:DQ50"/>
    <mergeCell ref="CD50:CG50"/>
    <mergeCell ref="CH50:CK50"/>
    <mergeCell ref="CL50:CM50"/>
    <mergeCell ref="CN50:CQ50"/>
    <mergeCell ref="CR50:CU50"/>
    <mergeCell ref="CV50:CW50"/>
    <mergeCell ref="B50:F50"/>
    <mergeCell ref="G50:AL50"/>
    <mergeCell ref="AM50:AQ50"/>
    <mergeCell ref="AR50:BW50"/>
    <mergeCell ref="BX50:CA50"/>
    <mergeCell ref="CB51:CC51"/>
    <mergeCell ref="CD51:CG51"/>
    <mergeCell ref="CH51:CK51"/>
    <mergeCell ref="CL51:CM51"/>
    <mergeCell ref="CN51:CQ51"/>
    <mergeCell ref="CR51:CU51"/>
    <mergeCell ref="DR50:DU50"/>
    <mergeCell ref="DV50:EB50"/>
    <mergeCell ref="EC50:EI50"/>
    <mergeCell ref="CB50:CC50"/>
    <mergeCell ref="DV51:EB51"/>
    <mergeCell ref="EC51:EI51"/>
    <mergeCell ref="EJ51:EP51"/>
    <mergeCell ref="EQ51:EW51"/>
    <mergeCell ref="CV51:CW51"/>
    <mergeCell ref="CX51:DA51"/>
    <mergeCell ref="DB51:DE51"/>
    <mergeCell ref="DF51:DG51"/>
    <mergeCell ref="DH51:DK51"/>
    <mergeCell ref="DL51:DO51"/>
    <mergeCell ref="B25:AL25"/>
    <mergeCell ref="AM25:BW25"/>
    <mergeCell ref="BY25:DR25"/>
    <mergeCell ref="DT25:EE25"/>
    <mergeCell ref="EF25:EN25"/>
    <mergeCell ref="EO25:EW25"/>
    <mergeCell ref="DV27:EI27"/>
    <mergeCell ref="EJ27:EW27"/>
    <mergeCell ref="B32:F32"/>
    <mergeCell ref="G32:AL32"/>
    <mergeCell ref="AM32:AQ32"/>
    <mergeCell ref="AR32:BW32"/>
    <mergeCell ref="BX32:CA32"/>
    <mergeCell ref="CB32:CC32"/>
    <mergeCell ref="CD32:CG32"/>
    <mergeCell ref="CH32:CK32"/>
    <mergeCell ref="B54:F54"/>
    <mergeCell ref="G54:AL54"/>
    <mergeCell ref="AM54:AQ54"/>
    <mergeCell ref="AR54:BW54"/>
    <mergeCell ref="CH53:CK53"/>
    <mergeCell ref="CL53:CM53"/>
    <mergeCell ref="CN53:CQ53"/>
    <mergeCell ref="CR53:CU53"/>
    <mergeCell ref="DV52:EB52"/>
    <mergeCell ref="B53:F53"/>
    <mergeCell ref="G53:AL53"/>
    <mergeCell ref="AM53:AQ53"/>
    <mergeCell ref="AR53:BW53"/>
    <mergeCell ref="BX53:CA53"/>
    <mergeCell ref="CB53:CC53"/>
    <mergeCell ref="CD53:CG53"/>
    <mergeCell ref="CN54:CQ54"/>
    <mergeCell ref="DP53:DQ53"/>
    <mergeCell ref="DR53:DU53"/>
    <mergeCell ref="DV53:EB53"/>
    <mergeCell ref="CL54:CM54"/>
    <mergeCell ref="EC52:EI52"/>
    <mergeCell ref="EJ52:EP52"/>
    <mergeCell ref="EQ52:EW52"/>
    <mergeCell ref="B52:F52"/>
    <mergeCell ref="G52:AL52"/>
    <mergeCell ref="AM52:AQ52"/>
    <mergeCell ref="AR52:BW52"/>
    <mergeCell ref="DP51:DQ51"/>
    <mergeCell ref="DR51:DU51"/>
    <mergeCell ref="DL52:DO52"/>
    <mergeCell ref="DP52:DQ52"/>
    <mergeCell ref="DR52:DU52"/>
    <mergeCell ref="CR52:CU52"/>
    <mergeCell ref="CV52:CW52"/>
    <mergeCell ref="CX52:DA52"/>
    <mergeCell ref="DB52:DE52"/>
    <mergeCell ref="DF52:DG52"/>
    <mergeCell ref="DH52:DK52"/>
    <mergeCell ref="BX52:CA52"/>
    <mergeCell ref="CB52:CC52"/>
    <mergeCell ref="CD52:CG52"/>
    <mergeCell ref="CH52:CK52"/>
    <mergeCell ref="CL52:CM52"/>
    <mergeCell ref="CN52:CQ52"/>
    <mergeCell ref="B27:AL27"/>
    <mergeCell ref="AM27:BW27"/>
    <mergeCell ref="BX27:CG27"/>
    <mergeCell ref="CH27:CQ27"/>
    <mergeCell ref="CR27:DA27"/>
    <mergeCell ref="DB27:DK27"/>
    <mergeCell ref="DV32:EB32"/>
    <mergeCell ref="EC32:EI32"/>
    <mergeCell ref="EJ32:EP32"/>
    <mergeCell ref="CL32:CM32"/>
    <mergeCell ref="CN32:CQ32"/>
    <mergeCell ref="CR32:CU32"/>
    <mergeCell ref="CV32:CW32"/>
    <mergeCell ref="EJ31:EP31"/>
    <mergeCell ref="DR30:DU30"/>
    <mergeCell ref="DV30:EB30"/>
    <mergeCell ref="EC30:EI30"/>
    <mergeCell ref="CB30:CC30"/>
    <mergeCell ref="DR31:DU31"/>
    <mergeCell ref="DV31:EB31"/>
    <mergeCell ref="EC31:EI31"/>
    <mergeCell ref="B31:F31"/>
    <mergeCell ref="G31:AL31"/>
    <mergeCell ref="AM31:AQ31"/>
    <mergeCell ref="B35:AL35"/>
    <mergeCell ref="AM35:BW35"/>
    <mergeCell ref="BY35:DR35"/>
    <mergeCell ref="DT35:EE35"/>
    <mergeCell ref="EF35:EN35"/>
    <mergeCell ref="EO35:EW35"/>
    <mergeCell ref="DR32:DU32"/>
    <mergeCell ref="AM33:DU33"/>
    <mergeCell ref="DV33:EB33"/>
    <mergeCell ref="EC33:EI33"/>
    <mergeCell ref="EJ33:EP33"/>
    <mergeCell ref="EQ33:EW33"/>
    <mergeCell ref="CX32:DA32"/>
    <mergeCell ref="DB32:DE32"/>
    <mergeCell ref="DF32:DG32"/>
    <mergeCell ref="DH32:DK32"/>
    <mergeCell ref="DL32:DO32"/>
    <mergeCell ref="DP32:DQ32"/>
    <mergeCell ref="B33:AL33"/>
    <mergeCell ref="B38:AL38"/>
    <mergeCell ref="AM38:BW38"/>
    <mergeCell ref="BX38:CG38"/>
    <mergeCell ref="CH38:CQ38"/>
    <mergeCell ref="CR38:DA38"/>
    <mergeCell ref="DB38:DK38"/>
    <mergeCell ref="DL38:DU38"/>
    <mergeCell ref="B36:AL36"/>
    <mergeCell ref="AM36:BW36"/>
    <mergeCell ref="BY36:DR36"/>
    <mergeCell ref="AR42:BW42"/>
    <mergeCell ref="BX42:CA42"/>
    <mergeCell ref="CB42:CC42"/>
    <mergeCell ref="CD42:CG42"/>
    <mergeCell ref="CH42:CK42"/>
    <mergeCell ref="DP41:DQ41"/>
    <mergeCell ref="DR41:DU41"/>
    <mergeCell ref="DV41:EB41"/>
    <mergeCell ref="EC41:EI41"/>
    <mergeCell ref="DR42:DU42"/>
    <mergeCell ref="CX42:DA42"/>
    <mergeCell ref="DB42:DE42"/>
    <mergeCell ref="DF42:DG42"/>
    <mergeCell ref="DH42:DK42"/>
    <mergeCell ref="DL42:DO42"/>
    <mergeCell ref="DP42:DQ42"/>
    <mergeCell ref="CR41:CU41"/>
    <mergeCell ref="EJ41:EP41"/>
    <mergeCell ref="EQ41:EW41"/>
    <mergeCell ref="CV41:CW41"/>
    <mergeCell ref="CX41:DA41"/>
    <mergeCell ref="DB41:DE41"/>
    <mergeCell ref="DF41:DG41"/>
    <mergeCell ref="DH41:DK41"/>
    <mergeCell ref="DL41:DO41"/>
    <mergeCell ref="CB41:CC41"/>
    <mergeCell ref="CD41:CG41"/>
    <mergeCell ref="B43:F43"/>
    <mergeCell ref="G43:AL43"/>
    <mergeCell ref="AM43:AQ43"/>
    <mergeCell ref="AR43:BW43"/>
    <mergeCell ref="BX43:CA43"/>
    <mergeCell ref="CB43:CC43"/>
    <mergeCell ref="CD43:CG43"/>
    <mergeCell ref="CH43:CK43"/>
    <mergeCell ref="CL43:CM43"/>
    <mergeCell ref="DV43:EB43"/>
    <mergeCell ref="EC43:EI43"/>
    <mergeCell ref="EJ43:EP43"/>
    <mergeCell ref="EQ43:EW43"/>
    <mergeCell ref="AM44:DU44"/>
    <mergeCell ref="DV44:EB44"/>
    <mergeCell ref="EC44:EI44"/>
    <mergeCell ref="EJ44:EP44"/>
    <mergeCell ref="EQ44:EW44"/>
    <mergeCell ref="DB43:DE43"/>
    <mergeCell ref="DF43:DG43"/>
    <mergeCell ref="DH43:DK43"/>
    <mergeCell ref="DL43:DO43"/>
    <mergeCell ref="DP43:DQ43"/>
    <mergeCell ref="DR43:DU43"/>
    <mergeCell ref="B49:AL49"/>
    <mergeCell ref="AM49:BW49"/>
    <mergeCell ref="BX49:CG49"/>
    <mergeCell ref="CH49:CQ49"/>
    <mergeCell ref="CR49:DA49"/>
    <mergeCell ref="DB49:DK49"/>
    <mergeCell ref="DT46:EE46"/>
    <mergeCell ref="EF46:EN46"/>
    <mergeCell ref="EO46:EW46"/>
    <mergeCell ref="B47:AL47"/>
    <mergeCell ref="AM47:BW47"/>
    <mergeCell ref="BY47:DR47"/>
    <mergeCell ref="DT47:EE47"/>
    <mergeCell ref="EF47:EN47"/>
    <mergeCell ref="EO47:EW47"/>
    <mergeCell ref="DL49:DU49"/>
    <mergeCell ref="DV49:EI49"/>
    <mergeCell ref="EJ49:EW49"/>
    <mergeCell ref="B46:AL46"/>
    <mergeCell ref="AM46:BW46"/>
    <mergeCell ref="BY46:DR46"/>
    <mergeCell ref="EC53:EI53"/>
    <mergeCell ref="EJ53:EP53"/>
    <mergeCell ref="EQ53:EW53"/>
    <mergeCell ref="CV53:CW53"/>
    <mergeCell ref="CX53:DA53"/>
    <mergeCell ref="DB53:DE53"/>
    <mergeCell ref="DF53:DG53"/>
    <mergeCell ref="DH53:DK53"/>
    <mergeCell ref="DL53:DO53"/>
    <mergeCell ref="EY2:EZ3"/>
    <mergeCell ref="EQ54:EW54"/>
    <mergeCell ref="B55:AL55"/>
    <mergeCell ref="AM55:DU55"/>
    <mergeCell ref="DV55:EB55"/>
    <mergeCell ref="EC55:EI55"/>
    <mergeCell ref="EJ55:EP55"/>
    <mergeCell ref="EQ55:EW55"/>
    <mergeCell ref="DL54:DO54"/>
    <mergeCell ref="DP54:DQ54"/>
    <mergeCell ref="DR54:DU54"/>
    <mergeCell ref="DV54:EB54"/>
    <mergeCell ref="EC54:EI54"/>
    <mergeCell ref="EJ54:EP54"/>
    <mergeCell ref="CR54:CU54"/>
    <mergeCell ref="CV54:CW54"/>
    <mergeCell ref="CX54:DA54"/>
    <mergeCell ref="DB54:DE54"/>
    <mergeCell ref="DF54:DG54"/>
    <mergeCell ref="DH54:DK54"/>
    <mergeCell ref="BX54:CA54"/>
    <mergeCell ref="CB54:CC54"/>
    <mergeCell ref="CD54:CG54"/>
    <mergeCell ref="CH54:CK54"/>
  </mergeCells>
  <pageMargins left="0.7" right="0.7" top="0.75" bottom="0.75" header="0.3" footer="0.3"/>
  <pageSetup paperSize="9" scale="42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IU102"/>
  <sheetViews>
    <sheetView topLeftCell="E1" zoomScale="50" zoomScaleNormal="50" zoomScaleSheetLayoutView="40" workbookViewId="0">
      <selection activeCell="CN19" sqref="CN19:DS19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«СШ №3(2)» г.Симферополь</v>
      </c>
      <c r="B1" s="576"/>
      <c r="C1" s="577" t="str">
        <f>IF(D11="","",VLOOKUP(D11,Список!B:O,12,FALSE))</f>
        <v>«Спортшкола» г. Ялта</v>
      </c>
      <c r="D1" s="578"/>
      <c r="E1" s="579">
        <v>30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101</v>
      </c>
      <c r="B2" s="13" t="str">
        <f>IF(A2="","",VLOOKUP(A2,Список!E:O,2,FALSE))</f>
        <v xml:space="preserve"> Талалай Игорь Сергеевич</v>
      </c>
      <c r="C2" s="14">
        <f>IF($B$11="","",$D$11*10+1)</f>
        <v>71</v>
      </c>
      <c r="D2" s="15" t="str">
        <f>IF(C2="","",VLOOKUP(C2,Список!E:O,2,FALSE))</f>
        <v xml:space="preserve"> Маслий Дмитрий Владимирович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102</v>
      </c>
      <c r="B3" s="13" t="str">
        <f>IF(A3="","",VLOOKUP(A3,Список!E:O,2,FALSE))</f>
        <v xml:space="preserve"> Назаренко Олег Михайлович</v>
      </c>
      <c r="C3" s="14">
        <f>IF($B$11="","",$D$11*10+2)</f>
        <v>72</v>
      </c>
      <c r="D3" s="15" t="str">
        <f>IF(C3="","",VLOOKUP(C3,Список!E:O,2,FALSE))</f>
        <v xml:space="preserve"> Худенко Александр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103</v>
      </c>
      <c r="B4" s="13" t="str">
        <f>IF(A4="","",VLOOKUP(A4,Список!E:O,2,FALSE))</f>
        <v xml:space="preserve"> Романовский Александр Витальевич</v>
      </c>
      <c r="C4" s="14">
        <f>IF($B$11="","",$D$11*10+3)</f>
        <v>73</v>
      </c>
      <c r="D4" s="15" t="str">
        <f>IF(C4="","",VLOOKUP(C4,Список!E:O,2,FALSE))</f>
        <v xml:space="preserve"> Размысловский Павел Алексеевич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104</v>
      </c>
      <c r="B5" s="13" t="str">
        <f>IF(A5="","",VLOOKUP(A5,Список!E:O,2,FALSE))</f>
        <v xml:space="preserve"> Алексеев Игорь Юрьевич</v>
      </c>
      <c r="C5" s="14">
        <f>IF($B$11="","",$D$11*10+4)</f>
        <v>74</v>
      </c>
      <c r="D5" s="15" t="str">
        <f>IF(C5="","",VLOOKUP(C5,Список!E:O,2,FALSE))</f>
        <v xml:space="preserve"> Иванов Константин Николаевич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105</v>
      </c>
      <c r="B6" s="13" t="str">
        <f>IF(A6="","",VLOOKUP(A6,Список!E:O,2,FALSE))</f>
        <v xml:space="preserve"> Тимофеев Александр Сергеевич</v>
      </c>
      <c r="C6" s="14">
        <f>IF($B$11="","",$D$11*10+5)</f>
        <v>75</v>
      </c>
      <c r="D6" s="15" t="str">
        <f>IF(C6="","",VLOOKUP(C6,Список!E:O,2,FALSE))</f>
        <v xml:space="preserve"> Поляков Дмитрий Игоревич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106</v>
      </c>
      <c r="B7" s="13" t="str">
        <f>IF(A7="","",VLOOKUP(A7,Список!E:O,2,FALSE))</f>
        <v xml:space="preserve"> Спорышев Александр Алексеевич</v>
      </c>
      <c r="C7" s="14">
        <f>IF($B$11="","",$D$11*10+6)</f>
        <v>76</v>
      </c>
      <c r="D7" s="15" t="str">
        <f>IF(C7="","",VLOOKUP(C7,Список!E:O,2,FALSE))</f>
        <v xml:space="preserve"> Гузенко Глеб Русланович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107</v>
      </c>
      <c r="B8" s="13" t="str">
        <f>IF(A8="","",VLOOKUP(A8,Список!E:O,2,FALSE))</f>
        <v>-</v>
      </c>
      <c r="C8" s="14">
        <f>IF($B$11="","",$D$11*10+7)</f>
        <v>77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№3(2)»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«Спортшкола» г. 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108</v>
      </c>
      <c r="B9" s="13" t="str">
        <f>IF(A9="","",VLOOKUP(A9,Список!E:O,2,FALSE))</f>
        <v>-</v>
      </c>
      <c r="C9" s="14">
        <f>IF($B$11="","",$D$11*10+8)</f>
        <v>78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10</v>
      </c>
      <c r="C11" s="27" t="s">
        <v>18</v>
      </c>
      <c r="D11" s="29">
        <f>IF(B11="","",IF(B11=A13,C13,IF(B11=C13,A13,)))</f>
        <v>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«СШ №3(2)»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«Спортшкола» г. 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100</v>
      </c>
      <c r="D12" s="25">
        <f>IF(B11="","",D11*10)</f>
        <v>70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10</v>
      </c>
      <c r="B13" s="566"/>
      <c r="C13" s="565">
        <f>IF($E$1="","",VLOOKUP($E$1,'Общее расписание'!$B:$V,3,FALSE))</f>
        <v>7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Филатов Д.В.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6, встреча 30, 10 - 7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30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101</v>
      </c>
      <c r="C16" s="41" t="s">
        <v>35</v>
      </c>
      <c r="D16" s="40">
        <v>74</v>
      </c>
      <c r="E16" s="42" t="s">
        <v>152</v>
      </c>
      <c r="F16" s="42" t="s">
        <v>153</v>
      </c>
      <c r="G16" s="42" t="s">
        <v>180</v>
      </c>
      <c r="H16" s="42" t="s">
        <v>153</v>
      </c>
      <c r="I16" s="42"/>
      <c r="J16" s="43">
        <f>IF(E16="","",IF(E16="0",1000,IF(E16="-0",-1000,E16*1)))</f>
        <v>-7</v>
      </c>
      <c r="K16" s="43">
        <f>IF(F16="","",IF(F16="0",1000,IF(F16="-0",-1000,F16*1)))</f>
        <v>7</v>
      </c>
      <c r="L16" s="43">
        <f>IF(G16="","",IF(G16="0",1000,IF(G16="-0",-1000,G16*1)))</f>
        <v>13</v>
      </c>
      <c r="M16" s="43">
        <f>IF(H16="","",IF(H16="0",1000,IF(H16="-0",-1000,H16*1)))</f>
        <v>7</v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1</v>
      </c>
      <c r="R16" s="44">
        <f t="shared" si="0"/>
        <v>1</v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0</v>
      </c>
      <c r="W16" s="45">
        <f t="shared" si="1"/>
        <v>0</v>
      </c>
      <c r="X16" s="45" t="str">
        <f t="shared" si="1"/>
        <v/>
      </c>
      <c r="Y16" s="46">
        <f>IF(E16="","",SUM(O16:S16))</f>
        <v>3</v>
      </c>
      <c r="Z16" s="46">
        <f>IF(E16="","",SUM(T16:X16))</f>
        <v>1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Талалай Игорь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Иванов Константин Николаевич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7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7</v>
      </c>
      <c r="FF16" s="320"/>
      <c r="FG16" s="320"/>
      <c r="FH16" s="321"/>
      <c r="FI16" s="322">
        <f>IF(G16="","",IF(L16&gt;9,HY16,HW16))</f>
        <v>15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13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7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1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7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7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15</v>
      </c>
      <c r="HZ16" s="52">
        <f>IF(G16="","",IF(L16=1000,0,IF(L16=-1000,11,IF(L16&lt;0,11,IF(L16&gt;0,(L16),"0")))))</f>
        <v>13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7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7</v>
      </c>
      <c r="IJ16" s="56">
        <f>IF(F16="","",EY16*1)</f>
        <v>11</v>
      </c>
      <c r="IK16" s="56">
        <f>IF(G16="","",FI16*1)</f>
        <v>15</v>
      </c>
      <c r="IL16" s="56">
        <f>IF(H16="","",FS16*1)</f>
        <v>11</v>
      </c>
      <c r="IM16" s="56" t="str">
        <f>IF(I16="","",GC16*1)</f>
        <v/>
      </c>
      <c r="IN16" s="57">
        <f>IF(E16="","",EU16*1)</f>
        <v>11</v>
      </c>
      <c r="IO16" s="57">
        <f>IF(F16="","",FE16*1)</f>
        <v>7</v>
      </c>
      <c r="IP16" s="57">
        <f>IF(G16="","",FO16*1)</f>
        <v>13</v>
      </c>
      <c r="IQ16" s="57">
        <f>IF(H16="","",FY16*1)</f>
        <v>7</v>
      </c>
      <c r="IR16" s="57" t="str">
        <f>IF(I16="","",GI16*1)</f>
        <v/>
      </c>
      <c r="IS16" s="58">
        <f>IF(E16="","",SUM(II16:IM16))</f>
        <v>44</v>
      </c>
      <c r="IT16" s="58">
        <f>IF(E16="","",SUM(IN16:IR16))</f>
        <v>38</v>
      </c>
    </row>
    <row r="17" spans="1:254" ht="30" customHeight="1" x14ac:dyDescent="0.35">
      <c r="A17" s="39" t="s">
        <v>18</v>
      </c>
      <c r="B17" s="40">
        <v>103</v>
      </c>
      <c r="C17" s="41" t="s">
        <v>34</v>
      </c>
      <c r="D17" s="40">
        <v>72</v>
      </c>
      <c r="E17" s="42" t="s">
        <v>172</v>
      </c>
      <c r="F17" s="42" t="s">
        <v>157</v>
      </c>
      <c r="G17" s="42" t="s">
        <v>156</v>
      </c>
      <c r="H17" s="42" t="s">
        <v>174</v>
      </c>
      <c r="I17" s="42"/>
      <c r="J17" s="43">
        <f t="shared" ref="J17:N20" si="2">IF(E17="","",IF(E17="0",1000,IF(E17="-0",-1000,E17*1)))</f>
        <v>-5</v>
      </c>
      <c r="K17" s="43">
        <f t="shared" si="2"/>
        <v>9</v>
      </c>
      <c r="L17" s="43">
        <f t="shared" si="2"/>
        <v>-9</v>
      </c>
      <c r="M17" s="43">
        <f t="shared" si="2"/>
        <v>-3</v>
      </c>
      <c r="N17" s="43" t="str">
        <f t="shared" si="2"/>
        <v/>
      </c>
      <c r="O17" s="44">
        <f>IF(J17="","",IF(J17&gt;0,1,0))</f>
        <v>0</v>
      </c>
      <c r="P17" s="44">
        <f t="shared" si="0"/>
        <v>1</v>
      </c>
      <c r="Q17" s="44">
        <f t="shared" si="0"/>
        <v>0</v>
      </c>
      <c r="R17" s="44">
        <f t="shared" si="0"/>
        <v>0</v>
      </c>
      <c r="S17" s="44" t="str">
        <f t="shared" si="0"/>
        <v/>
      </c>
      <c r="T17" s="45">
        <f t="shared" si="1"/>
        <v>1</v>
      </c>
      <c r="U17" s="45">
        <f t="shared" si="1"/>
        <v>0</v>
      </c>
      <c r="V17" s="45">
        <f t="shared" si="1"/>
        <v>1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Романовский Александр Витальевич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Худенко Александр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5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9</v>
      </c>
      <c r="FF17" s="255"/>
      <c r="FG17" s="255"/>
      <c r="FH17" s="256"/>
      <c r="FI17" s="257">
        <f>IF(G17="","",IF(L17&gt;9,HY17,HW17))</f>
        <v>9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>
        <f>IF(H17="","",IF(M17&gt;9,IC17,IA17))</f>
        <v>3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5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 t="str">
        <f>IF(F17="","",IF(K17=1000,11,IF(K17=-1000,0,IF(K17&lt;9,11,IF(K17&gt;9,(K17+2),"0")))))</f>
        <v>0</v>
      </c>
      <c r="HV17" s="54">
        <f>IF(F17="","",IF(K17=1000,0,IF(K17=-1000,11,IF(K17&lt;0,11,IF(K17&gt;0,(K17),"0")))))</f>
        <v>9</v>
      </c>
      <c r="HW17" s="49">
        <f>IF(G17="","",IF(L17=1000,11,IF(L17=-1000,0,IF(L17&gt;0,11,IF(L17&lt;0,(-L17),"0")))))</f>
        <v>9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3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5</v>
      </c>
      <c r="IJ17" s="56">
        <f>IF(F17="","",EY17*1)</f>
        <v>11</v>
      </c>
      <c r="IK17" s="56">
        <f>IF(G17="","",FI17*1)</f>
        <v>9</v>
      </c>
      <c r="IL17" s="56">
        <f>IF(H17="","",FS17*1)</f>
        <v>3</v>
      </c>
      <c r="IM17" s="56" t="str">
        <f>IF(I17="","",GC17*1)</f>
        <v/>
      </c>
      <c r="IN17" s="57">
        <f>IF(E17="","",EU17*1)</f>
        <v>11</v>
      </c>
      <c r="IO17" s="57">
        <f>IF(F17="","",FE17*1)</f>
        <v>9</v>
      </c>
      <c r="IP17" s="57">
        <f>IF(G17="","",FO17*1)</f>
        <v>11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28</v>
      </c>
      <c r="IT17" s="58">
        <f>IF(E17="","",SUM(IN17:IR17))</f>
        <v>42</v>
      </c>
    </row>
    <row r="18" spans="1:254" ht="30" customHeight="1" x14ac:dyDescent="0.2">
      <c r="A18" s="39" t="s">
        <v>36</v>
      </c>
      <c r="B18" s="40">
        <v>102</v>
      </c>
      <c r="C18" s="41" t="s">
        <v>37</v>
      </c>
      <c r="D18" s="40"/>
      <c r="E18" s="42" t="s">
        <v>159</v>
      </c>
      <c r="F18" s="42" t="s">
        <v>159</v>
      </c>
      <c r="G18" s="42" t="s">
        <v>159</v>
      </c>
      <c r="H18" s="42"/>
      <c r="I18" s="42"/>
      <c r="J18" s="43">
        <f t="shared" si="2"/>
        <v>1000</v>
      </c>
      <c r="K18" s="43">
        <f t="shared" si="2"/>
        <v>1000</v>
      </c>
      <c r="L18" s="43">
        <f t="shared" si="2"/>
        <v>1000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Назаренко Олег Михайлович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0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0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0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0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0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0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0</v>
      </c>
      <c r="IO18" s="57">
        <f>IF(F18="","",FE18*1)</f>
        <v>0</v>
      </c>
      <c r="IP18" s="57">
        <f>IF(G18="","",FO18*1)</f>
        <v>0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0</v>
      </c>
    </row>
    <row r="19" spans="1:254" ht="30" customHeight="1" x14ac:dyDescent="0.2">
      <c r="A19" s="39" t="s">
        <v>17</v>
      </c>
      <c r="B19" s="59">
        <f>IF(B16=0,"",B16)</f>
        <v>101</v>
      </c>
      <c r="C19" s="41" t="s">
        <v>34</v>
      </c>
      <c r="D19" s="59">
        <f>IF(D17=0,"",D17)</f>
        <v>72</v>
      </c>
      <c r="E19" s="42" t="s">
        <v>172</v>
      </c>
      <c r="F19" s="42" t="s">
        <v>157</v>
      </c>
      <c r="G19" s="42" t="s">
        <v>169</v>
      </c>
      <c r="H19" s="42" t="s">
        <v>166</v>
      </c>
      <c r="I19" s="42" t="s">
        <v>157</v>
      </c>
      <c r="J19" s="43">
        <f t="shared" si="2"/>
        <v>-5</v>
      </c>
      <c r="K19" s="43">
        <f t="shared" si="2"/>
        <v>9</v>
      </c>
      <c r="L19" s="43">
        <f t="shared" si="2"/>
        <v>-8</v>
      </c>
      <c r="M19" s="43">
        <f t="shared" si="2"/>
        <v>8</v>
      </c>
      <c r="N19" s="43">
        <f t="shared" si="2"/>
        <v>9</v>
      </c>
      <c r="O19" s="44">
        <f>IF(J19="","",IF(J19&gt;0,1,0))</f>
        <v>0</v>
      </c>
      <c r="P19" s="44">
        <f t="shared" si="0"/>
        <v>1</v>
      </c>
      <c r="Q19" s="44">
        <f t="shared" si="0"/>
        <v>0</v>
      </c>
      <c r="R19" s="44">
        <f t="shared" si="0"/>
        <v>1</v>
      </c>
      <c r="S19" s="44">
        <f t="shared" si="0"/>
        <v>1</v>
      </c>
      <c r="T19" s="45">
        <f t="shared" si="1"/>
        <v>1</v>
      </c>
      <c r="U19" s="45">
        <f t="shared" si="1"/>
        <v>0</v>
      </c>
      <c r="V19" s="45">
        <f t="shared" si="1"/>
        <v>1</v>
      </c>
      <c r="W19" s="45">
        <f t="shared" si="1"/>
        <v>0</v>
      </c>
      <c r="X19" s="45">
        <f t="shared" si="1"/>
        <v>0</v>
      </c>
      <c r="Y19" s="46">
        <f>IF(E19="","",SUM(O19:S19))</f>
        <v>3</v>
      </c>
      <c r="Z19" s="46">
        <f>IF(E19="","",SUM(T19:X19))</f>
        <v>2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Талалай Игорь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Худенко Александр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5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9</v>
      </c>
      <c r="FF19" s="255"/>
      <c r="FG19" s="255"/>
      <c r="FH19" s="256"/>
      <c r="FI19" s="257">
        <f>IF(G19="","",IF(L19&gt;9,HY19,HW19))</f>
        <v>8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>
        <f>IF(H19="","",IF(M19&gt;9,IC19,IA19))</f>
        <v>11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8</v>
      </c>
      <c r="FZ19" s="255"/>
      <c r="GA19" s="255"/>
      <c r="GB19" s="256"/>
      <c r="GC19" s="257">
        <f>IF(I19="","",IF(N19&gt;9,IG19,IE19))</f>
        <v>11</v>
      </c>
      <c r="GD19" s="255"/>
      <c r="GE19" s="255"/>
      <c r="GF19" s="255"/>
      <c r="GG19" s="254" t="str">
        <f>IF(GC19="","","-")</f>
        <v>-</v>
      </c>
      <c r="GH19" s="254"/>
      <c r="GI19" s="255">
        <f>IF(I19="","",IF(N19&lt;-9,IF19,IH19))</f>
        <v>9</v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2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5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 t="str">
        <f>IF(F19="","",IF(K19=1000,11,IF(K19=-1000,0,IF(K19&lt;9,11,IF(K19&gt;9,(K19+2),"0")))))</f>
        <v>0</v>
      </c>
      <c r="HV19" s="54">
        <f>IF(F19="","",IF(K19=1000,0,IF(K19=-1000,11,IF(K19&lt;0,11,IF(K19&gt;0,(K19),"0")))))</f>
        <v>9</v>
      </c>
      <c r="HW19" s="49">
        <f>IF(G19="","",IF(L19=1000,11,IF(L19=-1000,0,IF(L19&gt;0,11,IF(L19&lt;0,(-L19),"0")))))</f>
        <v>8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>
        <f>IF(H19="","",IF(M19=1000,11,IF(M19=-1000,0,IF(M19&gt;0,11,IF(M19&lt;0,(-M19),"0")))))</f>
        <v>11</v>
      </c>
      <c r="IB19" s="53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8</v>
      </c>
      <c r="IE19" s="49">
        <f>IF(I19="","",IF(N19=1000,11,IF(N19=-1000,0,IF(N19&gt;0,11,IF(N19&lt;0,(-N19),"0")))))</f>
        <v>11</v>
      </c>
      <c r="IF19" s="50">
        <f>IF(I19="","",IF(N19=1000,0,IF(N19=-1000,11,IF(N19&lt;-9,-(N19-2),IF(N19&gt;0,(GY19),"0")))))</f>
        <v>0</v>
      </c>
      <c r="IG19" s="51" t="str">
        <f>IF(I19="","",IF(N19=1000,11,IF(N19=-1000,0,IF(N19&lt;9,11,IF(N19&gt;9,(N19+2),"0")))))</f>
        <v>0</v>
      </c>
      <c r="IH19" s="55">
        <f>IF(I19="","",IF(N19=1000,0,IF(N19=-1000,11,IF(N19&lt;0,11,IF(N19&gt;0,(N19),"0")))))</f>
        <v>9</v>
      </c>
      <c r="II19" s="56">
        <f>IF(E19="","",EO19*1)</f>
        <v>5</v>
      </c>
      <c r="IJ19" s="56">
        <f>IF(F19="","",EY19*1)</f>
        <v>11</v>
      </c>
      <c r="IK19" s="56">
        <f>IF(G19="","",FI19*1)</f>
        <v>8</v>
      </c>
      <c r="IL19" s="56">
        <f>IF(H19="","",FS19*1)</f>
        <v>11</v>
      </c>
      <c r="IM19" s="56">
        <f>IF(I19="","",GC19*1)</f>
        <v>11</v>
      </c>
      <c r="IN19" s="57">
        <f>IF(E19="","",EU19*1)</f>
        <v>11</v>
      </c>
      <c r="IO19" s="57">
        <f>IF(F19="","",FE19*1)</f>
        <v>9</v>
      </c>
      <c r="IP19" s="57">
        <f>IF(G19="","",FO19*1)</f>
        <v>11</v>
      </c>
      <c r="IQ19" s="57">
        <f>IF(H19="","",FY19*1)</f>
        <v>8</v>
      </c>
      <c r="IR19" s="57">
        <f>IF(I19="","",GI19*1)</f>
        <v>9</v>
      </c>
      <c r="IS19" s="58">
        <f>IF(E19="","",SUM(II19:IM19))</f>
        <v>46</v>
      </c>
      <c r="IT19" s="58">
        <f>IF(E19="","",SUM(IN19:IR19))</f>
        <v>48</v>
      </c>
    </row>
    <row r="20" spans="1:254" ht="30" customHeight="1" thickBot="1" x14ac:dyDescent="0.4">
      <c r="A20" s="39" t="s">
        <v>18</v>
      </c>
      <c r="B20" s="59">
        <f>IF(B17=0,"",B17)</f>
        <v>103</v>
      </c>
      <c r="C20" s="41" t="s">
        <v>35</v>
      </c>
      <c r="D20" s="59">
        <f>IF(D16=0,"",D16)</f>
        <v>74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Романовский Александр Витальевич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Иванов Константин Николаевич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10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«СШ №3(2)»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10</v>
      </c>
      <c r="GN21" s="222"/>
      <c r="GO21" s="222"/>
      <c r="GP21" s="222"/>
      <c r="GQ21" s="222"/>
      <c r="GR21" s="222"/>
      <c r="GS21" s="223"/>
      <c r="GT21" s="224">
        <f>IF(E16="","",SUM(GT16:GZ20))</f>
        <v>6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1</v>
      </c>
      <c r="HI21" s="228"/>
      <c r="HJ21" s="228"/>
      <c r="HK21" s="228"/>
      <c r="HL21" s="228"/>
      <c r="HM21" s="228"/>
      <c r="HN21" s="231"/>
      <c r="IS21" s="64">
        <f>IF(E16="","",SUM(IS16:IS20))</f>
        <v>151</v>
      </c>
      <c r="IT21" s="65">
        <f>IF(E16="","",SUM(IT16:IT20))</f>
        <v>128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30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«СШ №3(2)»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«Спортшкола» г. 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102</v>
      </c>
      <c r="F57" s="481"/>
      <c r="G57" s="9"/>
      <c r="H57" s="480">
        <f>C2</f>
        <v>71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103</v>
      </c>
      <c r="F58" s="481"/>
      <c r="G58" s="9"/>
      <c r="H58" s="480">
        <f>C4</f>
        <v>73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106</v>
      </c>
      <c r="F59" s="481"/>
      <c r="G59" s="9"/>
      <c r="H59" s="480">
        <f>C7</f>
        <v>76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107</v>
      </c>
      <c r="F60" s="481"/>
      <c r="G60" s="9"/>
      <c r="H60" s="480">
        <f>C8</f>
        <v>77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108</v>
      </c>
      <c r="F61" s="481"/>
      <c r="G61" s="9"/>
      <c r="H61" s="480">
        <f>C9</f>
        <v>78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109</v>
      </c>
      <c r="F62" s="481"/>
      <c r="G62" s="9"/>
      <c r="H62" s="480">
        <f>1+H61</f>
        <v>79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110</v>
      </c>
      <c r="F63" s="481"/>
      <c r="G63" s="9"/>
      <c r="H63" s="480">
        <f>1+H62</f>
        <v>80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111</v>
      </c>
      <c r="F64" s="481"/>
      <c r="G64" s="9"/>
      <c r="H64" s="480">
        <f>1+H63</f>
        <v>81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112</v>
      </c>
      <c r="F65" s="481"/>
      <c r="G65" s="9"/>
      <c r="H65" s="480">
        <f>1+H64</f>
        <v>82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113</v>
      </c>
      <c r="F66" s="481"/>
      <c r="G66" s="9"/>
      <c r="H66" s="480">
        <f>1+H65</f>
        <v>83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  <pageSetUpPr fitToPage="1"/>
  </sheetPr>
  <dimension ref="A1:IU102"/>
  <sheetViews>
    <sheetView zoomScale="50" zoomScaleNormal="50" zoomScaleSheetLayoutView="40" workbookViewId="0">
      <selection activeCell="H19" sqref="H19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«Интер»  г.Евпатория</v>
      </c>
      <c r="B1" s="576"/>
      <c r="C1" s="577" t="str">
        <f>IF(D11="","",VLOOKUP(D11,Список!B:O,12,FALSE))</f>
        <v>"РУСИЧИ" г.Симферополь</v>
      </c>
      <c r="D1" s="578"/>
      <c r="E1" s="579">
        <v>31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31</v>
      </c>
      <c r="B2" s="13" t="str">
        <f>IF(A2="","",VLOOKUP(A2,Список!E:O,2,FALSE))</f>
        <v xml:space="preserve"> Сорбало Владислав Федорович</v>
      </c>
      <c r="C2" s="14">
        <f>IF($B$11="","",$D$11*10+1)</f>
        <v>11</v>
      </c>
      <c r="D2" s="15" t="str">
        <f>IF(C2="","",VLOOKUP(C2,Список!E:O,2,FALSE))</f>
        <v xml:space="preserve"> Кривошеев Вячеслав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32</v>
      </c>
      <c r="B3" s="13" t="str">
        <f>IF(A3="","",VLOOKUP(A3,Список!E:O,2,FALSE))</f>
        <v xml:space="preserve"> Каулик Алексей Сергеевич</v>
      </c>
      <c r="C3" s="14">
        <f>IF($B$11="","",$D$11*10+2)</f>
        <v>12</v>
      </c>
      <c r="D3" s="15" t="str">
        <f>IF(C3="","",VLOOKUP(C3,Список!E:O,2,FALSE))</f>
        <v xml:space="preserve"> Панченко Артем Иванович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33</v>
      </c>
      <c r="B4" s="13" t="str">
        <f>IF(A4="","",VLOOKUP(A4,Список!E:O,2,FALSE))</f>
        <v xml:space="preserve"> Скрипин Василий Иванович</v>
      </c>
      <c r="C4" s="14">
        <f>IF($B$11="","",$D$11*10+3)</f>
        <v>13</v>
      </c>
      <c r="D4" s="15" t="str">
        <f>IF(C4="","",VLOOKUP(C4,Список!E:O,2,FALSE))</f>
        <v xml:space="preserve"> Исаков Илья Павлович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34</v>
      </c>
      <c r="B5" s="13" t="str">
        <f>IF(A5="","",VLOOKUP(A5,Список!E:O,2,FALSE))</f>
        <v xml:space="preserve"> Сыч Станислав Викторович</v>
      </c>
      <c r="C5" s="14">
        <f>IF($B$11="","",$D$11*10+4)</f>
        <v>14</v>
      </c>
      <c r="D5" s="15" t="str">
        <f>IF(C5="","",VLOOKUP(C5,Список!E:O,2,FALSE))</f>
        <v xml:space="preserve"> Масовер Андрей Ромазанович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35</v>
      </c>
      <c r="B6" s="13" t="str">
        <f>IF(A6="","",VLOOKUP(A6,Список!E:O,2,FALSE))</f>
        <v xml:space="preserve"> Марусич Дмитрий Олегович</v>
      </c>
      <c r="C6" s="14">
        <f>IF($B$11="","",$D$11*10+5)</f>
        <v>15</v>
      </c>
      <c r="D6" s="15" t="str">
        <f>IF(C6="","",VLOOKUP(C6,Список!E:O,2,FALSE))</f>
        <v xml:space="preserve"> Губанов Никита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36</v>
      </c>
      <c r="B7" s="13" t="str">
        <f>IF(A7="","",VLOOKUP(A7,Список!E:O,2,FALSE))</f>
        <v xml:space="preserve"> Кафиев Артур Рафаилович</v>
      </c>
      <c r="C7" s="14">
        <f>IF($B$11="","",$D$11*10+6)</f>
        <v>16</v>
      </c>
      <c r="D7" s="15" t="str">
        <f>IF(C7="","",VLOOKUP(C7,Список!E:O,2,FALSE))</f>
        <v xml:space="preserve"> Зайцев Игорь Владимирович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37</v>
      </c>
      <c r="B8" s="13" t="str">
        <f>IF(A8="","",VLOOKUP(A8,Список!E:O,2,FALSE))</f>
        <v xml:space="preserve"> Калинин Илья Валерьевич</v>
      </c>
      <c r="C8" s="14">
        <f>IF($B$11="","",$D$11*10+7)</f>
        <v>17</v>
      </c>
      <c r="D8" s="15" t="str">
        <f>IF(C8="","",VLOOKUP(C8,Список!E:O,2,FALSE))</f>
        <v xml:space="preserve"> Щепетнев Дмитрий Владимирович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"РУСИЧИ"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«Интер»  г.Евпатория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38</v>
      </c>
      <c r="B9" s="13" t="str">
        <f>IF(A9="","",VLOOKUP(A9,Список!E:O,2,FALSE))</f>
        <v xml:space="preserve"> Скрипин Иван Васильевич</v>
      </c>
      <c r="C9" s="14">
        <f>IF($B$11="","",$D$11*10+8)</f>
        <v>18</v>
      </c>
      <c r="D9" s="15" t="str">
        <f>IF(C9="","",VLOOKUP(C9,Список!E:O,2,FALSE))</f>
        <v xml:space="preserve"> Панков Леонид Александрович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3</v>
      </c>
      <c r="C11" s="27" t="s">
        <v>18</v>
      </c>
      <c r="D11" s="29">
        <f>IF(B11="","",IF(B11=A13,C13,IF(B11=C13,A13,)))</f>
        <v>1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«Интер»  г.Евпатория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"РУСИЧИ"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30</v>
      </c>
      <c r="D12" s="25">
        <f>IF(B11="","",D11*10)</f>
        <v>10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</v>
      </c>
      <c r="B13" s="566"/>
      <c r="C13" s="565">
        <f>IF($E$1="","",VLOOKUP($E$1,'Общее расписание'!$B:$V,3,FALSE))</f>
        <v>3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Хилик К.А., Скрипин В.И.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Панков Л.А.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7, встреча 31, 1 - 3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31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31</v>
      </c>
      <c r="C16" s="41" t="s">
        <v>35</v>
      </c>
      <c r="D16" s="40">
        <v>17</v>
      </c>
      <c r="E16" s="42" t="s">
        <v>154</v>
      </c>
      <c r="F16" s="42" t="s">
        <v>160</v>
      </c>
      <c r="G16" s="42" t="s">
        <v>156</v>
      </c>
      <c r="H16" s="42" t="s">
        <v>153</v>
      </c>
      <c r="I16" s="42"/>
      <c r="J16" s="43">
        <f>IF(E16="","",IF(E16="0",1000,IF(E16="-0",-1000,E16*1)))</f>
        <v>6</v>
      </c>
      <c r="K16" s="43">
        <f>IF(F16="","",IF(F16="0",1000,IF(F16="-0",-1000,F16*1)))</f>
        <v>3</v>
      </c>
      <c r="L16" s="43">
        <f>IF(G16="","",IF(G16="0",1000,IF(G16="-0",-1000,G16*1)))</f>
        <v>-9</v>
      </c>
      <c r="M16" s="43">
        <f>IF(H16="","",IF(H16="0",1000,IF(H16="-0",-1000,H16*1)))</f>
        <v>7</v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1</v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1</v>
      </c>
      <c r="W16" s="45">
        <f t="shared" si="1"/>
        <v>0</v>
      </c>
      <c r="X16" s="45" t="str">
        <f t="shared" si="1"/>
        <v/>
      </c>
      <c r="Y16" s="46">
        <f>IF(E16="","",SUM(O16:S16))</f>
        <v>3</v>
      </c>
      <c r="Z16" s="46">
        <f>IF(E16="","",SUM(T16:X16))</f>
        <v>1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Сорбало Владислав Федорович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Щепетнев Дмитрий Владимирович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6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3</v>
      </c>
      <c r="FF16" s="320"/>
      <c r="FG16" s="320"/>
      <c r="FH16" s="321"/>
      <c r="FI16" s="322">
        <f>IF(G16="","",IF(L16&gt;9,HY16,HW16))</f>
        <v>9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7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1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6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3</v>
      </c>
      <c r="HW16" s="49">
        <f>IF(G16="","",IF(L16=1000,11,IF(L16=-1000,0,IF(L16&gt;0,11,IF(L16&lt;0,(-L16),"0")))))</f>
        <v>9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7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9</v>
      </c>
      <c r="IL16" s="56">
        <f>IF(H16="","",FS16*1)</f>
        <v>11</v>
      </c>
      <c r="IM16" s="56" t="str">
        <f>IF(I16="","",GC16*1)</f>
        <v/>
      </c>
      <c r="IN16" s="57">
        <f>IF(E16="","",EU16*1)</f>
        <v>6</v>
      </c>
      <c r="IO16" s="57">
        <f>IF(F16="","",FE16*1)</f>
        <v>3</v>
      </c>
      <c r="IP16" s="57">
        <f>IF(G16="","",FO16*1)</f>
        <v>11</v>
      </c>
      <c r="IQ16" s="57">
        <f>IF(H16="","",FY16*1)</f>
        <v>7</v>
      </c>
      <c r="IR16" s="57" t="str">
        <f>IF(I16="","",GI16*1)</f>
        <v/>
      </c>
      <c r="IS16" s="58">
        <f>IF(E16="","",SUM(II16:IM16))</f>
        <v>42</v>
      </c>
      <c r="IT16" s="58">
        <f>IF(E16="","",SUM(IN16:IR16))</f>
        <v>27</v>
      </c>
    </row>
    <row r="17" spans="1:254" ht="30" customHeight="1" x14ac:dyDescent="0.35">
      <c r="A17" s="39" t="s">
        <v>18</v>
      </c>
      <c r="B17" s="40">
        <v>32</v>
      </c>
      <c r="C17" s="41" t="s">
        <v>34</v>
      </c>
      <c r="D17" s="40">
        <v>11</v>
      </c>
      <c r="E17" s="42" t="s">
        <v>169</v>
      </c>
      <c r="F17" s="42" t="s">
        <v>172</v>
      </c>
      <c r="G17" s="42" t="s">
        <v>173</v>
      </c>
      <c r="H17" s="42"/>
      <c r="I17" s="42"/>
      <c r="J17" s="43">
        <f t="shared" ref="J17:N20" si="2">IF(E17="","",IF(E17="0",1000,IF(E17="-0",-1000,E17*1)))</f>
        <v>-8</v>
      </c>
      <c r="K17" s="43">
        <f t="shared" si="2"/>
        <v>-5</v>
      </c>
      <c r="L17" s="43">
        <f t="shared" si="2"/>
        <v>-4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Каулик Алексей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Кривошеев Вячеслав Александрович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8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5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4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8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5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4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8</v>
      </c>
      <c r="IJ17" s="56">
        <f>IF(F17="","",EY17*1)</f>
        <v>5</v>
      </c>
      <c r="IK17" s="56">
        <f>IF(G17="","",FI17*1)</f>
        <v>4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17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36</v>
      </c>
      <c r="C18" s="41" t="s">
        <v>37</v>
      </c>
      <c r="D18" s="40">
        <v>16</v>
      </c>
      <c r="E18" s="42" t="s">
        <v>169</v>
      </c>
      <c r="F18" s="42" t="s">
        <v>152</v>
      </c>
      <c r="G18" s="42" t="s">
        <v>163</v>
      </c>
      <c r="H18" s="42"/>
      <c r="I18" s="42"/>
      <c r="J18" s="43">
        <f t="shared" si="2"/>
        <v>-8</v>
      </c>
      <c r="K18" s="43">
        <f t="shared" si="2"/>
        <v>-7</v>
      </c>
      <c r="L18" s="43">
        <f t="shared" si="2"/>
        <v>-2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Кафиев Артур Рафаилович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Зайцев Игорь Владимирович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8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7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2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8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7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2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8</v>
      </c>
      <c r="IJ18" s="56">
        <f>IF(F18="","",EY18*1)</f>
        <v>7</v>
      </c>
      <c r="IK18" s="56">
        <f>IF(G18="","",FI18*1)</f>
        <v>2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17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31</v>
      </c>
      <c r="C19" s="41" t="s">
        <v>34</v>
      </c>
      <c r="D19" s="59">
        <f>IF(D17=0,"",D17)</f>
        <v>11</v>
      </c>
      <c r="E19" s="42" t="s">
        <v>156</v>
      </c>
      <c r="F19" s="42" t="s">
        <v>152</v>
      </c>
      <c r="G19" s="42" t="s">
        <v>174</v>
      </c>
      <c r="H19" s="42"/>
      <c r="I19" s="42"/>
      <c r="J19" s="43">
        <f t="shared" si="2"/>
        <v>-9</v>
      </c>
      <c r="K19" s="43">
        <f t="shared" si="2"/>
        <v>-7</v>
      </c>
      <c r="L19" s="43">
        <f t="shared" si="2"/>
        <v>-3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Сорбало Владислав Федорович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Кривошеев Вячеслав Александрович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9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7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3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9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7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3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9</v>
      </c>
      <c r="IJ19" s="56">
        <f>IF(F19="","",EY19*1)</f>
        <v>7</v>
      </c>
      <c r="IK19" s="56">
        <f>IF(G19="","",FI19*1)</f>
        <v>3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19</v>
      </c>
      <c r="IT19" s="58">
        <f>IF(E19="","",SUM(IN19:IR19))</f>
        <v>33</v>
      </c>
    </row>
    <row r="20" spans="1:254" ht="30" customHeight="1" thickBot="1" x14ac:dyDescent="0.4">
      <c r="A20" s="39" t="s">
        <v>18</v>
      </c>
      <c r="B20" s="59">
        <f>IF(B17=0,"",B17)</f>
        <v>32</v>
      </c>
      <c r="C20" s="41" t="s">
        <v>35</v>
      </c>
      <c r="D20" s="59">
        <f>IF(D16=0,"",D16)</f>
        <v>17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Каулик Алексей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Щепетнев Дмитрий Владимирович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3</v>
      </c>
      <c r="GN21" s="222"/>
      <c r="GO21" s="222"/>
      <c r="GP21" s="222"/>
      <c r="GQ21" s="222"/>
      <c r="GR21" s="222"/>
      <c r="GS21" s="223"/>
      <c r="GT21" s="224">
        <f>IF(E16="","",SUM(GT16:GZ20))</f>
        <v>10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95</v>
      </c>
      <c r="IT21" s="65">
        <f>IF(E16="","",SUM(IT16:IT20))</f>
        <v>126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31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«Интер»  г.Евпатория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"РУСИЧИ"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32</v>
      </c>
      <c r="F57" s="481"/>
      <c r="G57" s="9"/>
      <c r="H57" s="480">
        <f>C2</f>
        <v>11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33</v>
      </c>
      <c r="F58" s="481"/>
      <c r="G58" s="9"/>
      <c r="H58" s="480">
        <f>C4</f>
        <v>13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36</v>
      </c>
      <c r="F59" s="481"/>
      <c r="G59" s="9"/>
      <c r="H59" s="480">
        <f>C7</f>
        <v>16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37</v>
      </c>
      <c r="F60" s="481"/>
      <c r="G60" s="9"/>
      <c r="H60" s="480">
        <f>C8</f>
        <v>17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38</v>
      </c>
      <c r="F61" s="481"/>
      <c r="G61" s="9"/>
      <c r="H61" s="480">
        <f>C9</f>
        <v>18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39</v>
      </c>
      <c r="F62" s="481"/>
      <c r="G62" s="9"/>
      <c r="H62" s="480">
        <f>1+H61</f>
        <v>19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40</v>
      </c>
      <c r="F63" s="481"/>
      <c r="G63" s="9"/>
      <c r="H63" s="480">
        <f>1+H62</f>
        <v>20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41</v>
      </c>
      <c r="F64" s="481"/>
      <c r="G64" s="9"/>
      <c r="H64" s="480">
        <f>1+H63</f>
        <v>21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42</v>
      </c>
      <c r="F65" s="481"/>
      <c r="G65" s="9"/>
      <c r="H65" s="480">
        <f>1+H64</f>
        <v>22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43</v>
      </c>
      <c r="F66" s="481"/>
      <c r="G66" s="9"/>
      <c r="H66" s="480">
        <f>1+H65</f>
        <v>23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92D050"/>
    <pageSetUpPr fitToPage="1"/>
  </sheetPr>
  <dimension ref="A1:IU102"/>
  <sheetViews>
    <sheetView topLeftCell="E2" zoomScale="50" zoomScaleNormal="50" zoomScaleSheetLayoutView="40" workbookViewId="0">
      <selection activeCell="I18" sqref="I18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«Рассвет» г.Симферополь</v>
      </c>
      <c r="B1" s="576"/>
      <c r="C1" s="577" t="str">
        <f>IF(D11="","",VLOOKUP(D11,Список!B:O,12,FALSE))</f>
        <v>«Аэропорт - СШ №3» г.Симферополь</v>
      </c>
      <c r="D1" s="578"/>
      <c r="E1" s="579">
        <v>32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51</v>
      </c>
      <c r="B2" s="13" t="str">
        <f>IF(A2="","",VLOOKUP(A2,Список!E:O,2,FALSE))</f>
        <v xml:space="preserve"> Пикульский Никита Петрович</v>
      </c>
      <c r="C2" s="14">
        <f>IF($B$11="","",$D$11*10+1)</f>
        <v>21</v>
      </c>
      <c r="D2" s="15" t="str">
        <f>IF(C2="","",VLOOKUP(C2,Список!E:O,2,FALSE))</f>
        <v xml:space="preserve"> Павлина Сергей Станиславович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52</v>
      </c>
      <c r="B3" s="13" t="str">
        <f>IF(A3="","",VLOOKUP(A3,Список!E:O,2,FALSE))</f>
        <v xml:space="preserve"> Третьяков Олег Маратович</v>
      </c>
      <c r="C3" s="14">
        <f>IF($B$11="","",$D$11*10+2)</f>
        <v>22</v>
      </c>
      <c r="D3" s="15" t="str">
        <f>IF(C3="","",VLOOKUP(C3,Список!E:O,2,FALSE))</f>
        <v xml:space="preserve"> Банников Юрий Владимирович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53</v>
      </c>
      <c r="B4" s="13" t="str">
        <f>IF(A4="","",VLOOKUP(A4,Список!E:O,2,FALSE))</f>
        <v xml:space="preserve"> Рехтин Андрей Павлович</v>
      </c>
      <c r="C4" s="14">
        <f>IF($B$11="","",$D$11*10+3)</f>
        <v>23</v>
      </c>
      <c r="D4" s="15" t="str">
        <f>IF(C4="","",VLOOKUP(C4,Список!E:O,2,FALSE))</f>
        <v xml:space="preserve"> Лодыгин Владимир Вадимович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54</v>
      </c>
      <c r="B5" s="13" t="str">
        <f>IF(A5="","",VLOOKUP(A5,Список!E:O,2,FALSE))</f>
        <v xml:space="preserve"> Алёшкин Дмитрий Сергеевич</v>
      </c>
      <c r="C5" s="14">
        <f>IF($B$11="","",$D$11*10+4)</f>
        <v>24</v>
      </c>
      <c r="D5" s="15" t="str">
        <f>IF(C5="","",VLOOKUP(C5,Список!E:O,2,FALSE))</f>
        <v xml:space="preserve"> Соловей Юрий Анатольевич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55</v>
      </c>
      <c r="B6" s="13" t="str">
        <f>IF(A6="","",VLOOKUP(A6,Список!E:O,2,FALSE))</f>
        <v>-</v>
      </c>
      <c r="C6" s="14">
        <f>IF($B$11="","",$D$11*10+5)</f>
        <v>25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56</v>
      </c>
      <c r="B7" s="13" t="str">
        <f>IF(A7="","",VLOOKUP(A7,Список!E:O,2,FALSE))</f>
        <v>-</v>
      </c>
      <c r="C7" s="14">
        <f>IF($B$11="","",$D$11*10+6)</f>
        <v>26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57</v>
      </c>
      <c r="B8" s="13" t="str">
        <f>IF(A8="","",VLOOKUP(A8,Список!E:O,2,FALSE))</f>
        <v>-</v>
      </c>
      <c r="C8" s="14">
        <f>IF($B$11="","",$D$11*10+7)</f>
        <v>27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«Аэропорт - СШ №3»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«Рассвет»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58</v>
      </c>
      <c r="B9" s="13" t="str">
        <f>IF(A9="","",VLOOKUP(A9,Список!E:O,2,FALSE))</f>
        <v>-</v>
      </c>
      <c r="C9" s="14">
        <f>IF($B$11="","",$D$11*10+8)</f>
        <v>28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5</v>
      </c>
      <c r="C11" s="27" t="s">
        <v>18</v>
      </c>
      <c r="D11" s="29">
        <f>IF(B11="","",IF(B11=A13,C13,IF(B11=C13,A13,)))</f>
        <v>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«Рассвет»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«Аэропорт - СШ №3»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50</v>
      </c>
      <c r="D12" s="25">
        <f>IF(B11="","",D11*10)</f>
        <v>20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2</v>
      </c>
      <c r="B13" s="566"/>
      <c r="C13" s="565">
        <f>IF($E$1="","",VLOOKUP($E$1,'Общее расписание'!$B:$V,3,FALSE))</f>
        <v>5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Пикульский Н., Третьяков О.М.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Банников Ю.В.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7, встреча 32, 2 - 5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32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53</v>
      </c>
      <c r="C16" s="41" t="s">
        <v>35</v>
      </c>
      <c r="D16" s="40">
        <v>21</v>
      </c>
      <c r="E16" s="42" t="s">
        <v>152</v>
      </c>
      <c r="F16" s="42" t="s">
        <v>171</v>
      </c>
      <c r="G16" s="42" t="s">
        <v>172</v>
      </c>
      <c r="H16" s="42"/>
      <c r="I16" s="42"/>
      <c r="J16" s="43">
        <f>IF(E16="","",IF(E16="0",1000,IF(E16="-0",-1000,E16*1)))</f>
        <v>-7</v>
      </c>
      <c r="K16" s="43">
        <f>IF(F16="","",IF(F16="0",1000,IF(F16="-0",-1000,F16*1)))</f>
        <v>-6</v>
      </c>
      <c r="L16" s="43">
        <f>IF(G16="","",IF(G16="0",1000,IF(G16="-0",-1000,G16*1)))</f>
        <v>-5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Рехтин Андрей Павлович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Павлина Сергей Станиславович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7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6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5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7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6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5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7</v>
      </c>
      <c r="IJ16" s="56">
        <f>IF(F16="","",EY16*1)</f>
        <v>6</v>
      </c>
      <c r="IK16" s="56">
        <f>IF(G16="","",FI16*1)</f>
        <v>5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18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52</v>
      </c>
      <c r="C17" s="41" t="s">
        <v>34</v>
      </c>
      <c r="D17" s="40">
        <v>23</v>
      </c>
      <c r="E17" s="42" t="s">
        <v>152</v>
      </c>
      <c r="F17" s="42" t="s">
        <v>177</v>
      </c>
      <c r="G17" s="42" t="s">
        <v>165</v>
      </c>
      <c r="H17" s="42" t="s">
        <v>169</v>
      </c>
      <c r="I17" s="42"/>
      <c r="J17" s="43">
        <f t="shared" ref="J17:N20" si="2">IF(E17="","",IF(E17="0",1000,IF(E17="-0",-1000,E17*1)))</f>
        <v>-7</v>
      </c>
      <c r="K17" s="43">
        <f t="shared" si="2"/>
        <v>12</v>
      </c>
      <c r="L17" s="43">
        <f t="shared" si="2"/>
        <v>-11</v>
      </c>
      <c r="M17" s="43">
        <f t="shared" si="2"/>
        <v>-8</v>
      </c>
      <c r="N17" s="43" t="str">
        <f t="shared" si="2"/>
        <v/>
      </c>
      <c r="O17" s="44">
        <f>IF(J17="","",IF(J17&gt;0,1,0))</f>
        <v>0</v>
      </c>
      <c r="P17" s="44">
        <f t="shared" si="0"/>
        <v>1</v>
      </c>
      <c r="Q17" s="44">
        <f t="shared" si="0"/>
        <v>0</v>
      </c>
      <c r="R17" s="44">
        <f t="shared" si="0"/>
        <v>0</v>
      </c>
      <c r="S17" s="44" t="str">
        <f t="shared" si="0"/>
        <v/>
      </c>
      <c r="T17" s="45">
        <f t="shared" si="1"/>
        <v>1</v>
      </c>
      <c r="U17" s="45">
        <f t="shared" si="1"/>
        <v>0</v>
      </c>
      <c r="V17" s="45">
        <f t="shared" si="1"/>
        <v>1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Третьяков Олег Маратович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Лодыгин Владимир Вадимович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7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14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12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13</v>
      </c>
      <c r="FP17" s="255"/>
      <c r="FQ17" s="255"/>
      <c r="FR17" s="256"/>
      <c r="FS17" s="257">
        <f>IF(H17="","",IF(M17&gt;9,IC17,IA17))</f>
        <v>8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7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14</v>
      </c>
      <c r="HV17" s="54">
        <f>IF(F17="","",IF(K17=1000,0,IF(K17=-1000,11,IF(K17&lt;0,11,IF(K17&gt;0,(K17),"0")))))</f>
        <v>12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13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8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7</v>
      </c>
      <c r="IJ17" s="56">
        <f>IF(F17="","",EY17*1)</f>
        <v>14</v>
      </c>
      <c r="IK17" s="56">
        <f>IF(G17="","",FI17*1)</f>
        <v>11</v>
      </c>
      <c r="IL17" s="56">
        <f>IF(H17="","",FS17*1)</f>
        <v>8</v>
      </c>
      <c r="IM17" s="56" t="str">
        <f>IF(I17="","",GC17*1)</f>
        <v/>
      </c>
      <c r="IN17" s="57">
        <f>IF(E17="","",EU17*1)</f>
        <v>11</v>
      </c>
      <c r="IO17" s="57">
        <f>IF(F17="","",FE17*1)</f>
        <v>12</v>
      </c>
      <c r="IP17" s="57">
        <f>IF(G17="","",FO17*1)</f>
        <v>13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40</v>
      </c>
      <c r="IT17" s="58">
        <f>IF(E17="","",SUM(IN17:IR17))</f>
        <v>47</v>
      </c>
    </row>
    <row r="18" spans="1:254" ht="30" customHeight="1" x14ac:dyDescent="0.2">
      <c r="A18" s="39" t="s">
        <v>36</v>
      </c>
      <c r="B18" s="40">
        <v>51</v>
      </c>
      <c r="C18" s="41" t="s">
        <v>37</v>
      </c>
      <c r="D18" s="40">
        <v>22</v>
      </c>
      <c r="E18" s="42" t="s">
        <v>169</v>
      </c>
      <c r="F18" s="42" t="s">
        <v>180</v>
      </c>
      <c r="G18" s="42" t="s">
        <v>171</v>
      </c>
      <c r="H18" s="42" t="s">
        <v>175</v>
      </c>
      <c r="I18" s="42"/>
      <c r="J18" s="43">
        <f t="shared" si="2"/>
        <v>-8</v>
      </c>
      <c r="K18" s="43">
        <f t="shared" si="2"/>
        <v>13</v>
      </c>
      <c r="L18" s="43">
        <f t="shared" si="2"/>
        <v>-6</v>
      </c>
      <c r="M18" s="43">
        <f t="shared" si="2"/>
        <v>-10</v>
      </c>
      <c r="N18" s="43" t="str">
        <f t="shared" si="2"/>
        <v/>
      </c>
      <c r="O18" s="44">
        <f>IF(J18="","",IF(J18&gt;0,1,0))</f>
        <v>0</v>
      </c>
      <c r="P18" s="44">
        <f t="shared" si="0"/>
        <v>1</v>
      </c>
      <c r="Q18" s="44">
        <f t="shared" si="0"/>
        <v>0</v>
      </c>
      <c r="R18" s="44">
        <f t="shared" si="0"/>
        <v>0</v>
      </c>
      <c r="S18" s="44" t="str">
        <f t="shared" si="0"/>
        <v/>
      </c>
      <c r="T18" s="45">
        <f t="shared" si="1"/>
        <v>1</v>
      </c>
      <c r="U18" s="45">
        <f t="shared" si="1"/>
        <v>0</v>
      </c>
      <c r="V18" s="45">
        <f t="shared" si="1"/>
        <v>1</v>
      </c>
      <c r="W18" s="45">
        <f t="shared" si="1"/>
        <v>1</v>
      </c>
      <c r="X18" s="45" t="str">
        <f t="shared" si="1"/>
        <v/>
      </c>
      <c r="Y18" s="46">
        <f>IF(E18="","",SUM(O18:S18))</f>
        <v>1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Пикульский Никита Петрович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Банников Юрий Владимирович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98"/>
      <c r="DU18" s="599"/>
      <c r="DV18" s="599"/>
      <c r="DW18" s="599"/>
      <c r="DX18" s="599"/>
      <c r="DY18" s="599"/>
      <c r="DZ18" s="600"/>
      <c r="EA18" s="598"/>
      <c r="EB18" s="599"/>
      <c r="EC18" s="599"/>
      <c r="ED18" s="599"/>
      <c r="EE18" s="599"/>
      <c r="EF18" s="599"/>
      <c r="EG18" s="600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8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15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13</v>
      </c>
      <c r="FF18" s="255"/>
      <c r="FG18" s="255"/>
      <c r="FH18" s="256"/>
      <c r="FI18" s="257">
        <f>IF(G18="","",IF(L18&gt;9,HY18,HW18))</f>
        <v>6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>
        <f>IF(H18="","",IF(M18&gt;9,IC18,IA18))</f>
        <v>10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12</v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1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8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15</v>
      </c>
      <c r="HV18" s="54">
        <f>IF(F18="","",IF(K18=1000,0,IF(K18=-1000,11,IF(K18&lt;0,11,IF(K18&gt;0,(K18),"0")))))</f>
        <v>13</v>
      </c>
      <c r="HW18" s="49">
        <f>IF(G18="","",IF(L18=1000,11,IF(L18=-1000,0,IF(L18&gt;0,11,IF(L18&lt;0,(-L18),"0")))))</f>
        <v>6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>
        <f>IF(H18="","",IF(M18=1000,11,IF(M18=-1000,0,IF(M18&gt;0,11,IF(M18&lt;0,(-M18),"0")))))</f>
        <v>10</v>
      </c>
      <c r="IB18" s="53">
        <f>IF(H18="","",IF(G18="","",IF(M18=1000,0,IF(M18=-1000,11,IF(M18&lt;-9,-(M18-2),IF(M18&gt;0,(GX18),"0"))))))</f>
        <v>12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11</v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8</v>
      </c>
      <c r="IJ18" s="56">
        <f>IF(F18="","",EY18*1)</f>
        <v>15</v>
      </c>
      <c r="IK18" s="56">
        <f>IF(G18="","",FI18*1)</f>
        <v>6</v>
      </c>
      <c r="IL18" s="56">
        <f>IF(H18="","",FS18*1)</f>
        <v>10</v>
      </c>
      <c r="IM18" s="56" t="str">
        <f>IF(I18="","",GC18*1)</f>
        <v/>
      </c>
      <c r="IN18" s="57">
        <f>IF(E18="","",EU18*1)</f>
        <v>11</v>
      </c>
      <c r="IO18" s="57">
        <f>IF(F18="","",FE18*1)</f>
        <v>13</v>
      </c>
      <c r="IP18" s="57">
        <f>IF(G18="","",FO18*1)</f>
        <v>11</v>
      </c>
      <c r="IQ18" s="57">
        <f>IF(H18="","",FY18*1)</f>
        <v>12</v>
      </c>
      <c r="IR18" s="57" t="str">
        <f>IF(I18="","",GI18*1)</f>
        <v/>
      </c>
      <c r="IS18" s="58">
        <f>IF(E18="","",SUM(II18:IM18))</f>
        <v>39</v>
      </c>
      <c r="IT18" s="58">
        <f>IF(E18="","",SUM(IN18:IR18))</f>
        <v>47</v>
      </c>
    </row>
    <row r="19" spans="1:254" ht="30" customHeight="1" x14ac:dyDescent="0.35">
      <c r="A19" s="39" t="s">
        <v>17</v>
      </c>
      <c r="B19" s="59">
        <f>IF(B16=0,"",B16)</f>
        <v>53</v>
      </c>
      <c r="C19" s="41" t="s">
        <v>34</v>
      </c>
      <c r="D19" s="59">
        <f>IF(D17=0,"",D17)</f>
        <v>23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Рехтин Андрей Павлович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Лодыгин Владимир Вадимович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9"/>
      <c r="DU19" s="525"/>
      <c r="DV19" s="525"/>
      <c r="DW19" s="525"/>
      <c r="DX19" s="525"/>
      <c r="DY19" s="525"/>
      <c r="DZ19" s="526"/>
      <c r="EA19" s="529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52</v>
      </c>
      <c r="C20" s="41" t="s">
        <v>35</v>
      </c>
      <c r="D20" s="59">
        <f>IF(D16=0,"",D16)</f>
        <v>21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Третьяков Олег Маратович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Павлина Сергей Станиславович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2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«Аэропорт - СШ №3»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2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97</v>
      </c>
      <c r="IT21" s="65">
        <f>IF(E16="","",SUM(IT16:IT20))</f>
        <v>127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32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«Рассвет»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«Аэропорт - СШ №3»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52</v>
      </c>
      <c r="F57" s="481"/>
      <c r="G57" s="9"/>
      <c r="H57" s="480">
        <f>C2</f>
        <v>21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53</v>
      </c>
      <c r="F58" s="481"/>
      <c r="G58" s="9"/>
      <c r="H58" s="480">
        <f>C4</f>
        <v>23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56</v>
      </c>
      <c r="F59" s="481"/>
      <c r="G59" s="9"/>
      <c r="H59" s="480">
        <f>C7</f>
        <v>26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57</v>
      </c>
      <c r="F60" s="481"/>
      <c r="G60" s="9"/>
      <c r="H60" s="480">
        <f>C8</f>
        <v>27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58</v>
      </c>
      <c r="F61" s="481"/>
      <c r="G61" s="9"/>
      <c r="H61" s="480">
        <f>C9</f>
        <v>28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59</v>
      </c>
      <c r="F62" s="481"/>
      <c r="G62" s="9"/>
      <c r="H62" s="480">
        <f>1+H61</f>
        <v>29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60</v>
      </c>
      <c r="F63" s="481"/>
      <c r="G63" s="9"/>
      <c r="H63" s="480">
        <f>1+H62</f>
        <v>30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61</v>
      </c>
      <c r="F64" s="481"/>
      <c r="G64" s="9"/>
      <c r="H64" s="480">
        <f>1+H63</f>
        <v>31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62</v>
      </c>
      <c r="F65" s="481"/>
      <c r="G65" s="9"/>
      <c r="H65" s="480">
        <f>1+H64</f>
        <v>32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63</v>
      </c>
      <c r="F66" s="481"/>
      <c r="G66" s="9"/>
      <c r="H66" s="480">
        <f>1+H65</f>
        <v>33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92D050"/>
    <pageSetUpPr fitToPage="1"/>
  </sheetPr>
  <dimension ref="A1:IU102"/>
  <sheetViews>
    <sheetView topLeftCell="B1" zoomScale="50" zoomScaleNormal="50" zoomScaleSheetLayoutView="40" workbookViewId="0">
      <selection activeCell="C10" sqref="C10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«Дрим Тим» г.Симферополь</v>
      </c>
      <c r="B1" s="576"/>
      <c r="C1" s="577" t="str">
        <f>IF(D11="","",VLOOKUP(D11,Список!B:O,12,FALSE))</f>
        <v>«Спортшкола» г. Ялта</v>
      </c>
      <c r="D1" s="578"/>
      <c r="E1" s="579">
        <v>33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41</v>
      </c>
      <c r="B2" s="13" t="str">
        <f>IF(A2="","",VLOOKUP(A2,Список!E:O,2,FALSE))</f>
        <v xml:space="preserve"> Гаврилов Денис Михайлович</v>
      </c>
      <c r="C2" s="14">
        <f>IF($B$11="","",$D$11*10+1)</f>
        <v>71</v>
      </c>
      <c r="D2" s="15" t="str">
        <f>IF(C2="","",VLOOKUP(C2,Список!E:O,2,FALSE))</f>
        <v xml:space="preserve"> Маслий Дмитрий Владимирович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42</v>
      </c>
      <c r="B3" s="13" t="str">
        <f>IF(A3="","",VLOOKUP(A3,Список!E:O,2,FALSE))</f>
        <v xml:space="preserve"> Курило Игорь Сергеевич</v>
      </c>
      <c r="C3" s="14">
        <f>IF($B$11="","",$D$11*10+2)</f>
        <v>72</v>
      </c>
      <c r="D3" s="15" t="str">
        <f>IF(C3="","",VLOOKUP(C3,Список!E:O,2,FALSE))</f>
        <v xml:space="preserve"> Худенко Александр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43</v>
      </c>
      <c r="B4" s="13" t="str">
        <f>IF(A4="","",VLOOKUP(A4,Список!E:O,2,FALSE))</f>
        <v xml:space="preserve"> Длугоканский Андрей Александрович</v>
      </c>
      <c r="C4" s="14">
        <f>IF($B$11="","",$D$11*10+3)</f>
        <v>73</v>
      </c>
      <c r="D4" s="15" t="str">
        <f>IF(C4="","",VLOOKUP(C4,Список!E:O,2,FALSE))</f>
        <v xml:space="preserve"> Размысловский Павел Алексеевич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44</v>
      </c>
      <c r="B5" s="13" t="str">
        <f>IF(A5="","",VLOOKUP(A5,Список!E:O,2,FALSE))</f>
        <v xml:space="preserve"> Полтев Данил Сергеевич</v>
      </c>
      <c r="C5" s="14">
        <f>IF($B$11="","",$D$11*10+4)</f>
        <v>74</v>
      </c>
      <c r="D5" s="15" t="str">
        <f>IF(C5="","",VLOOKUP(C5,Список!E:O,2,FALSE))</f>
        <v xml:space="preserve"> Иванов Константин Николаевич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45</v>
      </c>
      <c r="B6" s="13" t="str">
        <f>IF(A6="","",VLOOKUP(A6,Список!E:O,2,FALSE))</f>
        <v xml:space="preserve"> Ткаченко Владимир Михайлович</v>
      </c>
      <c r="C6" s="14">
        <f>IF($B$11="","",$D$11*10+5)</f>
        <v>75</v>
      </c>
      <c r="D6" s="15" t="str">
        <f>IF(C6="","",VLOOKUP(C6,Список!E:O,2,FALSE))</f>
        <v xml:space="preserve"> Поляков Дмитрий Игоревич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46</v>
      </c>
      <c r="B7" s="13" t="str">
        <f>IF(A7="","",VLOOKUP(A7,Список!E:O,2,FALSE))</f>
        <v xml:space="preserve"> Животов Дмитрий Викторович</v>
      </c>
      <c r="C7" s="14">
        <f>IF($B$11="","",$D$11*10+6)</f>
        <v>76</v>
      </c>
      <c r="D7" s="15" t="str">
        <f>IF(C7="","",VLOOKUP(C7,Список!E:O,2,FALSE))</f>
        <v xml:space="preserve"> Гузенко Глеб Русланович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47</v>
      </c>
      <c r="B8" s="13" t="str">
        <f>IF(A8="","",VLOOKUP(A8,Список!E:O,2,FALSE))</f>
        <v xml:space="preserve"> Скоробогатов Евгений Петрович</v>
      </c>
      <c r="C8" s="14">
        <f>IF($B$11="","",$D$11*10+7)</f>
        <v>77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«Дрим Тим»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«Спортшкола» г. 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48</v>
      </c>
      <c r="B9" s="13" t="str">
        <f>IF(A9="","",VLOOKUP(A9,Список!E:O,2,FALSE))</f>
        <v xml:space="preserve"> Скоробогатов Александр Евгеньевич</v>
      </c>
      <c r="C9" s="14">
        <f>IF($B$11="","",$D$11*10+8)</f>
        <v>78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4</v>
      </c>
      <c r="C11" s="27" t="s">
        <v>18</v>
      </c>
      <c r="D11" s="29">
        <f>IF(B11="","",IF(B11=A13,C13,IF(B11=C13,A13,)))</f>
        <v>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«Дрим Тим»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«Спортшкола» г. 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40</v>
      </c>
      <c r="D12" s="25">
        <f>IF(B11="","",D11*10)</f>
        <v>70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4</v>
      </c>
      <c r="B13" s="566"/>
      <c r="C13" s="565">
        <f>IF($E$1="","",VLOOKUP($E$1,'Общее расписание'!$B:$V,3,FALSE))</f>
        <v>7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Скоробогатов Е.П.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7, встреча 33, 4 - 7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33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43</v>
      </c>
      <c r="C16" s="41" t="s">
        <v>35</v>
      </c>
      <c r="D16" s="40">
        <v>74</v>
      </c>
      <c r="E16" s="42" t="s">
        <v>155</v>
      </c>
      <c r="F16" s="42" t="s">
        <v>154</v>
      </c>
      <c r="G16" s="42" t="s">
        <v>174</v>
      </c>
      <c r="H16" s="42" t="s">
        <v>152</v>
      </c>
      <c r="I16" s="42" t="s">
        <v>154</v>
      </c>
      <c r="J16" s="43">
        <f>IF(E16="","",IF(E16="0",1000,IF(E16="-0",-1000,E16*1)))</f>
        <v>5</v>
      </c>
      <c r="K16" s="43">
        <f>IF(F16="","",IF(F16="0",1000,IF(F16="-0",-1000,F16*1)))</f>
        <v>6</v>
      </c>
      <c r="L16" s="43">
        <f>IF(G16="","",IF(G16="0",1000,IF(G16="-0",-1000,G16*1)))</f>
        <v>-3</v>
      </c>
      <c r="M16" s="43">
        <f>IF(H16="","",IF(H16="0",1000,IF(H16="-0",-1000,H16*1)))</f>
        <v>-7</v>
      </c>
      <c r="N16" s="43">
        <f>IF(I16="","",IF(I16="0",1000,IF(I16="-0",-1000,I16*1)))</f>
        <v>6</v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0</v>
      </c>
      <c r="S16" s="44">
        <f t="shared" si="0"/>
        <v>1</v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1</v>
      </c>
      <c r="W16" s="45">
        <f t="shared" si="1"/>
        <v>1</v>
      </c>
      <c r="X16" s="45">
        <f t="shared" si="1"/>
        <v>0</v>
      </c>
      <c r="Y16" s="46">
        <f>IF(E16="","",SUM(O16:S16))</f>
        <v>3</v>
      </c>
      <c r="Z16" s="46">
        <f>IF(E16="","",SUM(T16:X16))</f>
        <v>2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Длугоканский Андрей Александрович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Иванов Константин Николаевич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5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6</v>
      </c>
      <c r="FF16" s="320"/>
      <c r="FG16" s="320"/>
      <c r="FH16" s="321"/>
      <c r="FI16" s="322">
        <f>IF(G16="","",IF(L16&gt;9,HY16,HW16))</f>
        <v>3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7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>
        <f>IF(I16="","",IF(N16&gt;9,IG16,IE16))</f>
        <v>11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6</v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2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5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6</v>
      </c>
      <c r="HW16" s="49">
        <f>IF(G16="","",IF(L16=1000,11,IF(L16=-1000,0,IF(L16&gt;0,11,IF(L16&lt;0,(-L16),"0")))))</f>
        <v>3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7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>
        <f>IF(I16="","",IF(N16=1000,11,IF(N16=-1000,0,IF(N16&gt;0,11,IF(N16&lt;0,(-N16),"0")))))</f>
        <v>11</v>
      </c>
      <c r="IF16" s="50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6</v>
      </c>
      <c r="II16" s="56">
        <f>IF(E16="","",EO16*1)</f>
        <v>11</v>
      </c>
      <c r="IJ16" s="56">
        <f>IF(F16="","",EY16*1)</f>
        <v>11</v>
      </c>
      <c r="IK16" s="56">
        <f>IF(G16="","",FI16*1)</f>
        <v>3</v>
      </c>
      <c r="IL16" s="56">
        <f>IF(H16="","",FS16*1)</f>
        <v>7</v>
      </c>
      <c r="IM16" s="56">
        <f>IF(I16="","",GC16*1)</f>
        <v>11</v>
      </c>
      <c r="IN16" s="57">
        <f>IF(E16="","",EU16*1)</f>
        <v>5</v>
      </c>
      <c r="IO16" s="57">
        <f>IF(F16="","",FE16*1)</f>
        <v>6</v>
      </c>
      <c r="IP16" s="57">
        <f>IF(G16="","",FO16*1)</f>
        <v>11</v>
      </c>
      <c r="IQ16" s="57">
        <f>IF(H16="","",FY16*1)</f>
        <v>11</v>
      </c>
      <c r="IR16" s="57">
        <f>IF(I16="","",GI16*1)</f>
        <v>6</v>
      </c>
      <c r="IS16" s="58">
        <f>IF(E16="","",SUM(II16:IM16))</f>
        <v>43</v>
      </c>
      <c r="IT16" s="58">
        <f>IF(E16="","",SUM(IN16:IR16))</f>
        <v>39</v>
      </c>
    </row>
    <row r="17" spans="1:254" ht="30" customHeight="1" x14ac:dyDescent="0.35">
      <c r="A17" s="39" t="s">
        <v>18</v>
      </c>
      <c r="B17" s="40">
        <v>44</v>
      </c>
      <c r="C17" s="41" t="s">
        <v>34</v>
      </c>
      <c r="D17" s="40">
        <v>72</v>
      </c>
      <c r="E17" s="42" t="s">
        <v>152</v>
      </c>
      <c r="F17" s="42" t="s">
        <v>171</v>
      </c>
      <c r="G17" s="42" t="s">
        <v>152</v>
      </c>
      <c r="H17" s="42"/>
      <c r="I17" s="42"/>
      <c r="J17" s="43">
        <f t="shared" ref="J17:N20" si="2">IF(E17="","",IF(E17="0",1000,IF(E17="-0",-1000,E17*1)))</f>
        <v>-7</v>
      </c>
      <c r="K17" s="43">
        <f t="shared" si="2"/>
        <v>-6</v>
      </c>
      <c r="L17" s="43">
        <f t="shared" si="2"/>
        <v>-7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Полтев Данил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Худенко Александр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7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6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7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7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6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7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7</v>
      </c>
      <c r="IJ17" s="56">
        <f>IF(F17="","",EY17*1)</f>
        <v>6</v>
      </c>
      <c r="IK17" s="56">
        <f>IF(G17="","",FI17*1)</f>
        <v>7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20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45</v>
      </c>
      <c r="C18" s="41" t="s">
        <v>37</v>
      </c>
      <c r="D18" s="40"/>
      <c r="E18" s="42" t="s">
        <v>159</v>
      </c>
      <c r="F18" s="42" t="s">
        <v>159</v>
      </c>
      <c r="G18" s="42" t="s">
        <v>159</v>
      </c>
      <c r="H18" s="42"/>
      <c r="I18" s="42"/>
      <c r="J18" s="43">
        <f t="shared" si="2"/>
        <v>1000</v>
      </c>
      <c r="K18" s="43">
        <f t="shared" si="2"/>
        <v>1000</v>
      </c>
      <c r="L18" s="43">
        <f t="shared" si="2"/>
        <v>1000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Ткаченко Владимир Михайлович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0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0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0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0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0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0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0</v>
      </c>
      <c r="IO18" s="57">
        <f>IF(F18="","",FE18*1)</f>
        <v>0</v>
      </c>
      <c r="IP18" s="57">
        <f>IF(G18="","",FO18*1)</f>
        <v>0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0</v>
      </c>
    </row>
    <row r="19" spans="1:254" ht="30" customHeight="1" x14ac:dyDescent="0.2">
      <c r="A19" s="39" t="s">
        <v>17</v>
      </c>
      <c r="B19" s="59">
        <f>IF(B16=0,"",B16)</f>
        <v>43</v>
      </c>
      <c r="C19" s="41" t="s">
        <v>34</v>
      </c>
      <c r="D19" s="59">
        <f>IF(D17=0,"",D17)</f>
        <v>72</v>
      </c>
      <c r="E19" s="42" t="s">
        <v>176</v>
      </c>
      <c r="F19" s="42" t="s">
        <v>174</v>
      </c>
      <c r="G19" s="42" t="s">
        <v>153</v>
      </c>
      <c r="H19" s="42" t="s">
        <v>166</v>
      </c>
      <c r="I19" s="42"/>
      <c r="J19" s="43">
        <f t="shared" si="2"/>
        <v>10</v>
      </c>
      <c r="K19" s="43">
        <f t="shared" si="2"/>
        <v>-3</v>
      </c>
      <c r="L19" s="43">
        <f t="shared" si="2"/>
        <v>7</v>
      </c>
      <c r="M19" s="43">
        <f t="shared" si="2"/>
        <v>8</v>
      </c>
      <c r="N19" s="43" t="str">
        <f t="shared" si="2"/>
        <v/>
      </c>
      <c r="O19" s="44">
        <f>IF(J19="","",IF(J19&gt;0,1,0))</f>
        <v>1</v>
      </c>
      <c r="P19" s="44">
        <f t="shared" si="0"/>
        <v>0</v>
      </c>
      <c r="Q19" s="44">
        <f t="shared" si="0"/>
        <v>1</v>
      </c>
      <c r="R19" s="44">
        <f t="shared" si="0"/>
        <v>1</v>
      </c>
      <c r="S19" s="44" t="str">
        <f t="shared" si="0"/>
        <v/>
      </c>
      <c r="T19" s="45">
        <f t="shared" si="1"/>
        <v>0</v>
      </c>
      <c r="U19" s="45">
        <f t="shared" si="1"/>
        <v>1</v>
      </c>
      <c r="V19" s="45">
        <f t="shared" si="1"/>
        <v>0</v>
      </c>
      <c r="W19" s="45">
        <f t="shared" si="1"/>
        <v>0</v>
      </c>
      <c r="X19" s="45" t="str">
        <f t="shared" si="1"/>
        <v/>
      </c>
      <c r="Y19" s="46">
        <f>IF(E19="","",SUM(O19:S19))</f>
        <v>3</v>
      </c>
      <c r="Z19" s="46">
        <f>IF(E19="","",SUM(T19:X19))</f>
        <v>1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Длугоканский Андрей Александрович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Худенко Александр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12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10</v>
      </c>
      <c r="EV19" s="255"/>
      <c r="EW19" s="255"/>
      <c r="EX19" s="256"/>
      <c r="EY19" s="257">
        <f>IF(F19="","",IF(K19&gt;9,HU19,HS19))</f>
        <v>3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7</v>
      </c>
      <c r="FP19" s="255"/>
      <c r="FQ19" s="255"/>
      <c r="FR19" s="256"/>
      <c r="FS19" s="257">
        <f>IF(H19="","",IF(M19&gt;9,IC19,IA19))</f>
        <v>11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8</v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1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>
        <f>IF(E19="","",IF(J19=1000,11,IF(J19=-1000,0,IF(J19&lt;9,11,IF(J19&gt;9,(J19+2),"0")))))</f>
        <v>12</v>
      </c>
      <c r="HR19" s="52">
        <f>IF(E19="","",IF(J19=1000,0,IF(J19=-1000,11,IF(J19&lt;0,11,IF(J19&gt;0,(J19),"0")))))</f>
        <v>10</v>
      </c>
      <c r="HS19" s="53">
        <f>IF(F19="","",IF(K19=1000,11,IF(K19=-1000,0,IF(K19&gt;0,11,IF(K19&lt;0,(-K19),"0")))))</f>
        <v>3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7</v>
      </c>
      <c r="IA19" s="53">
        <f>IF(H19="","",IF(M19=1000,11,IF(M19=-1000,0,IF(M19&gt;0,11,IF(M19&lt;0,(-M19),"0")))))</f>
        <v>11</v>
      </c>
      <c r="IB19" s="53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8</v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12</v>
      </c>
      <c r="IJ19" s="56">
        <f>IF(F19="","",EY19*1)</f>
        <v>3</v>
      </c>
      <c r="IK19" s="56">
        <f>IF(G19="","",FI19*1)</f>
        <v>11</v>
      </c>
      <c r="IL19" s="56">
        <f>IF(H19="","",FS19*1)</f>
        <v>11</v>
      </c>
      <c r="IM19" s="56" t="str">
        <f>IF(I19="","",GC19*1)</f>
        <v/>
      </c>
      <c r="IN19" s="57">
        <f>IF(E19="","",EU19*1)</f>
        <v>10</v>
      </c>
      <c r="IO19" s="57">
        <f>IF(F19="","",FE19*1)</f>
        <v>11</v>
      </c>
      <c r="IP19" s="57">
        <f>IF(G19="","",FO19*1)</f>
        <v>7</v>
      </c>
      <c r="IQ19" s="57">
        <f>IF(H19="","",FY19*1)</f>
        <v>8</v>
      </c>
      <c r="IR19" s="57" t="str">
        <f>IF(I19="","",GI19*1)</f>
        <v/>
      </c>
      <c r="IS19" s="58">
        <f>IF(E19="","",SUM(II19:IM19))</f>
        <v>37</v>
      </c>
      <c r="IT19" s="58">
        <f>IF(E19="","",SUM(IN19:IR19))</f>
        <v>36</v>
      </c>
    </row>
    <row r="20" spans="1:254" ht="30" customHeight="1" thickBot="1" x14ac:dyDescent="0.4">
      <c r="A20" s="39" t="s">
        <v>18</v>
      </c>
      <c r="B20" s="59">
        <f>IF(B17=0,"",B17)</f>
        <v>44</v>
      </c>
      <c r="C20" s="41" t="s">
        <v>35</v>
      </c>
      <c r="D20" s="59">
        <f>IF(D16=0,"",D16)</f>
        <v>74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Полтев Данил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Иванов Константин Николаевич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4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«Дрим Тим»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6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1</v>
      </c>
      <c r="HI21" s="228"/>
      <c r="HJ21" s="228"/>
      <c r="HK21" s="228"/>
      <c r="HL21" s="228"/>
      <c r="HM21" s="228"/>
      <c r="HN21" s="231"/>
      <c r="IS21" s="64">
        <f>IF(E16="","",SUM(IS16:IS20))</f>
        <v>133</v>
      </c>
      <c r="IT21" s="65">
        <f>IF(E16="","",SUM(IT16:IT20))</f>
        <v>108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33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«Дрим Тим»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«Спортшкола» г. 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42</v>
      </c>
      <c r="F57" s="481"/>
      <c r="G57" s="9"/>
      <c r="H57" s="480">
        <f>C2</f>
        <v>71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43</v>
      </c>
      <c r="F58" s="481"/>
      <c r="G58" s="9"/>
      <c r="H58" s="480">
        <f>C4</f>
        <v>73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46</v>
      </c>
      <c r="F59" s="481"/>
      <c r="G59" s="9"/>
      <c r="H59" s="480">
        <f>C7</f>
        <v>76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47</v>
      </c>
      <c r="F60" s="481"/>
      <c r="G60" s="9"/>
      <c r="H60" s="480">
        <f>C8</f>
        <v>77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48</v>
      </c>
      <c r="F61" s="481"/>
      <c r="G61" s="9"/>
      <c r="H61" s="480">
        <f>C9</f>
        <v>78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49</v>
      </c>
      <c r="F62" s="481"/>
      <c r="G62" s="9"/>
      <c r="H62" s="480">
        <f>1+H61</f>
        <v>79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50</v>
      </c>
      <c r="F63" s="481"/>
      <c r="G63" s="9"/>
      <c r="H63" s="480">
        <f>1+H62</f>
        <v>80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51</v>
      </c>
      <c r="F64" s="481"/>
      <c r="G64" s="9"/>
      <c r="H64" s="480">
        <f>1+H63</f>
        <v>81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52</v>
      </c>
      <c r="F65" s="481"/>
      <c r="G65" s="9"/>
      <c r="H65" s="480">
        <f>1+H64</f>
        <v>82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53</v>
      </c>
      <c r="F66" s="481"/>
      <c r="G66" s="9"/>
      <c r="H66" s="480">
        <f>1+H65</f>
        <v>83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92D050"/>
    <pageSetUpPr fitToPage="1"/>
  </sheetPr>
  <dimension ref="A1:IU102"/>
  <sheetViews>
    <sheetView topLeftCell="E1" zoomScale="50" zoomScaleNormal="50" zoomScaleSheetLayoutView="40" workbookViewId="0">
      <selection activeCell="GM20" sqref="GM20:GS20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«АРСЕНАЛ-С» г.Севастополь</v>
      </c>
      <c r="B1" s="576"/>
      <c r="C1" s="577" t="str">
        <f>IF(D11="","",VLOOKUP(D11,Список!B:O,12,FALSE))</f>
        <v>"Спортшкола - Юноши" г.Ялта</v>
      </c>
      <c r="D1" s="578"/>
      <c r="E1" s="579">
        <v>34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61</v>
      </c>
      <c r="B2" s="13" t="str">
        <f>IF(A2="","",VLOOKUP(A2,Список!E:O,2,FALSE))</f>
        <v xml:space="preserve"> Перфильев Алексей Алексеевич</v>
      </c>
      <c r="C2" s="14">
        <f>IF($B$11="","",$D$11*10+1)</f>
        <v>91</v>
      </c>
      <c r="D2" s="15" t="str">
        <f>IF(C2="","",VLOOKUP(C2,Список!E:O,2,FALSE))</f>
        <v xml:space="preserve"> Бородин Илья Николаевич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62</v>
      </c>
      <c r="B3" s="13" t="str">
        <f>IF(A3="","",VLOOKUP(A3,Список!E:O,2,FALSE))</f>
        <v xml:space="preserve"> Чернокнижников Александр Максимович</v>
      </c>
      <c r="C3" s="14">
        <f>IF($B$11="","",$D$11*10+2)</f>
        <v>92</v>
      </c>
      <c r="D3" s="15" t="str">
        <f>IF(C3="","",VLOOKUP(C3,Список!E:O,2,FALSE))</f>
        <v xml:space="preserve"> Чекалов Никита Геннадьевич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63</v>
      </c>
      <c r="B4" s="13" t="str">
        <f>IF(A4="","",VLOOKUP(A4,Список!E:O,2,FALSE))</f>
        <v xml:space="preserve"> Шило Алексей Вячеславович</v>
      </c>
      <c r="C4" s="14">
        <f>IF($B$11="","",$D$11*10+3)</f>
        <v>93</v>
      </c>
      <c r="D4" s="15" t="str">
        <f>IF(C4="","",VLOOKUP(C4,Список!E:O,2,FALSE))</f>
        <v xml:space="preserve"> Груздов Дарион Сергеевич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64</v>
      </c>
      <c r="B5" s="13" t="str">
        <f>IF(A5="","",VLOOKUP(A5,Список!E:O,2,FALSE))</f>
        <v xml:space="preserve"> Овчаренко Игорь Викторович</v>
      </c>
      <c r="C5" s="14">
        <f>IF($B$11="","",$D$11*10+4)</f>
        <v>94</v>
      </c>
      <c r="D5" s="15" t="str">
        <f>IF(C5="","",VLOOKUP(C5,Список!E:O,2,FALSE))</f>
        <v xml:space="preserve"> Чекалов Дмитрий Геннадьевич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65</v>
      </c>
      <c r="B6" s="13" t="str">
        <f>IF(A6="","",VLOOKUP(A6,Список!E:O,2,FALSE))</f>
        <v xml:space="preserve"> Королев Роман Сергеевич</v>
      </c>
      <c r="C6" s="14">
        <f>IF($B$11="","",$D$11*10+5)</f>
        <v>95</v>
      </c>
      <c r="D6" s="15" t="str">
        <f>IF(C6="","",VLOOKUP(C6,Список!E:O,2,FALSE))</f>
        <v xml:space="preserve"> Михайленко Кирилл Вадимович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66</v>
      </c>
      <c r="B7" s="13" t="str">
        <f>IF(A7="","",VLOOKUP(A7,Список!E:O,2,FALSE))</f>
        <v xml:space="preserve"> Горелкин Анатолий Николаевич</v>
      </c>
      <c r="C7" s="14">
        <f>IF($B$11="","",$D$11*10+6)</f>
        <v>96</v>
      </c>
      <c r="D7" s="15" t="str">
        <f>IF(C7="","",VLOOKUP(C7,Список!E:O,2,FALSE))</f>
        <v xml:space="preserve"> Груздов Даниэль Сергеевич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67</v>
      </c>
      <c r="B8" s="13" t="str">
        <f>IF(A8="","",VLOOKUP(A8,Список!E:O,2,FALSE))</f>
        <v xml:space="preserve"> Осипов Владимир Владимирович</v>
      </c>
      <c r="C8" s="14">
        <f>IF($B$11="","",$D$11*10+7)</f>
        <v>97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«АРСЕНАЛ-С» г.Севастополь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"Спортшкола - Юноши" г.Ялта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68</v>
      </c>
      <c r="B9" s="13" t="str">
        <f>IF(A9="","",VLOOKUP(A9,Список!E:O,2,FALSE))</f>
        <v xml:space="preserve"> Митин Павел Вадимович</v>
      </c>
      <c r="C9" s="14">
        <f>IF($B$11="","",$D$11*10+8)</f>
        <v>98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6</v>
      </c>
      <c r="C11" s="27" t="s">
        <v>18</v>
      </c>
      <c r="D11" s="29">
        <f>IF(B11="","",IF(B11=A13,C13,IF(B11=C13,A13,)))</f>
        <v>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«АРСЕНАЛ-С» г.Севастополь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"Спортшкола - Юноши" г.Ялта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60</v>
      </c>
      <c r="D12" s="25">
        <f>IF(B11="","",D11*10)</f>
        <v>90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6</v>
      </c>
      <c r="B13" s="566"/>
      <c r="C13" s="565">
        <f>IF($E$1="","",VLOOKUP($E$1,'Общее расписание'!$B:$V,3,FALSE))</f>
        <v>9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Свистунов А.Н.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7, встреча 34, 6 - 9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34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67</v>
      </c>
      <c r="C16" s="41" t="s">
        <v>35</v>
      </c>
      <c r="D16" s="40">
        <v>94</v>
      </c>
      <c r="E16" s="42" t="s">
        <v>169</v>
      </c>
      <c r="F16" s="42" t="s">
        <v>156</v>
      </c>
      <c r="G16" s="42" t="s">
        <v>157</v>
      </c>
      <c r="H16" s="42" t="s">
        <v>171</v>
      </c>
      <c r="I16" s="42"/>
      <c r="J16" s="43">
        <f>IF(E16="","",IF(E16="0",1000,IF(E16="-0",-1000,E16*1)))</f>
        <v>-8</v>
      </c>
      <c r="K16" s="43">
        <f>IF(F16="","",IF(F16="0",1000,IF(F16="-0",-1000,F16*1)))</f>
        <v>-9</v>
      </c>
      <c r="L16" s="43">
        <f>IF(G16="","",IF(G16="0",1000,IF(G16="-0",-1000,G16*1)))</f>
        <v>9</v>
      </c>
      <c r="M16" s="43">
        <f>IF(H16="","",IF(H16="0",1000,IF(H16="-0",-1000,H16*1)))</f>
        <v>-6</v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1</v>
      </c>
      <c r="R16" s="44">
        <f t="shared" si="0"/>
        <v>0</v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0</v>
      </c>
      <c r="W16" s="45">
        <f t="shared" si="1"/>
        <v>1</v>
      </c>
      <c r="X16" s="45" t="str">
        <f t="shared" si="1"/>
        <v/>
      </c>
      <c r="Y16" s="46">
        <f>IF(E16="","",SUM(O16:S16))</f>
        <v>1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Осипов Владимир Владимирович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Чекалов Дмитрий Геннадьевич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8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9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9</v>
      </c>
      <c r="FP16" s="320"/>
      <c r="FQ16" s="320"/>
      <c r="FR16" s="321"/>
      <c r="FS16" s="322">
        <f>IF(H16="","",IF(M16&gt;9,IC16,IA16))</f>
        <v>6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1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8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9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 t="str">
        <f>IF(G16="","",IF(L16=1000,11,IF(L16=-1000,0,IF(L16&lt;9,11,IF(L16&gt;9,(L16+2),"0")))))</f>
        <v>0</v>
      </c>
      <c r="HZ16" s="52">
        <f>IF(G16="","",IF(L16=1000,0,IF(L16=-1000,11,IF(L16&lt;0,11,IF(L16&gt;0,(L16),"0")))))</f>
        <v>9</v>
      </c>
      <c r="IA16" s="53">
        <f>IF(H16="","",IF(M16=1000,11,IF(M16=-1000,0,IF(M16&gt;0,11,IF(M16&lt;0,(-M16),"0")))))</f>
        <v>6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8</v>
      </c>
      <c r="IJ16" s="56">
        <f>IF(F16="","",EY16*1)</f>
        <v>9</v>
      </c>
      <c r="IK16" s="56">
        <f>IF(G16="","",FI16*1)</f>
        <v>11</v>
      </c>
      <c r="IL16" s="56">
        <f>IF(H16="","",FS16*1)</f>
        <v>6</v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9</v>
      </c>
      <c r="IQ16" s="57">
        <f>IF(H16="","",FY16*1)</f>
        <v>11</v>
      </c>
      <c r="IR16" s="57" t="str">
        <f>IF(I16="","",GI16*1)</f>
        <v/>
      </c>
      <c r="IS16" s="58">
        <f>IF(E16="","",SUM(II16:IM16))</f>
        <v>34</v>
      </c>
      <c r="IT16" s="58">
        <f>IF(E16="","",SUM(IN16:IR16))</f>
        <v>42</v>
      </c>
    </row>
    <row r="17" spans="1:254" ht="30" customHeight="1" x14ac:dyDescent="0.35">
      <c r="A17" s="39" t="s">
        <v>18</v>
      </c>
      <c r="B17" s="40">
        <v>66</v>
      </c>
      <c r="C17" s="41" t="s">
        <v>34</v>
      </c>
      <c r="D17" s="40">
        <v>92</v>
      </c>
      <c r="E17" s="42" t="s">
        <v>163</v>
      </c>
      <c r="F17" s="42" t="s">
        <v>162</v>
      </c>
      <c r="G17" s="42" t="s">
        <v>172</v>
      </c>
      <c r="H17" s="42"/>
      <c r="I17" s="42"/>
      <c r="J17" s="43">
        <f t="shared" ref="J17:N20" si="2">IF(E17="","",IF(E17="0",1000,IF(E17="-0",-1000,E17*1)))</f>
        <v>-2</v>
      </c>
      <c r="K17" s="43">
        <f t="shared" si="2"/>
        <v>-1</v>
      </c>
      <c r="L17" s="43">
        <f t="shared" si="2"/>
        <v>-5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Горелкин Анатолий Николаевич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Чекалов Никита Геннадьевич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2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5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2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5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2</v>
      </c>
      <c r="IJ17" s="56">
        <f>IF(F17="","",EY17*1)</f>
        <v>1</v>
      </c>
      <c r="IK17" s="56">
        <f>IF(G17="","",FI17*1)</f>
        <v>5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8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91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Бородин Илья Николаевич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67</v>
      </c>
      <c r="C19" s="41" t="s">
        <v>34</v>
      </c>
      <c r="D19" s="59">
        <f>IF(D17=0,"",D17)</f>
        <v>92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Осипов Владимир Владимирович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Чекалов Никита Геннадьевич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66</v>
      </c>
      <c r="C20" s="41" t="s">
        <v>35</v>
      </c>
      <c r="D20" s="59">
        <f>IF(D16=0,"",D16)</f>
        <v>94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Горелкин Анатолий Николаевич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Чекалов Дмитрий Геннадьевич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9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"Спортшкола - Юноши" г.Ялта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42</v>
      </c>
      <c r="IT21" s="65">
        <f>IF(E16="","",SUM(IT16:IT20))</f>
        <v>108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34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«АРСЕНАЛ-С» г.Севастополь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"Спортшкола - Юноши" г.Ялта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62</v>
      </c>
      <c r="F57" s="481"/>
      <c r="G57" s="9"/>
      <c r="H57" s="480">
        <f>C2</f>
        <v>91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63</v>
      </c>
      <c r="F58" s="481"/>
      <c r="G58" s="9"/>
      <c r="H58" s="480">
        <f>C4</f>
        <v>93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66</v>
      </c>
      <c r="F59" s="481"/>
      <c r="G59" s="9"/>
      <c r="H59" s="480">
        <f>C7</f>
        <v>96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67</v>
      </c>
      <c r="F60" s="481"/>
      <c r="G60" s="9"/>
      <c r="H60" s="480">
        <f>C8</f>
        <v>97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68</v>
      </c>
      <c r="F61" s="481"/>
      <c r="G61" s="9"/>
      <c r="H61" s="480">
        <f>C9</f>
        <v>98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69</v>
      </c>
      <c r="F62" s="481"/>
      <c r="G62" s="9"/>
      <c r="H62" s="480">
        <f>1+H61</f>
        <v>99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70</v>
      </c>
      <c r="F63" s="481"/>
      <c r="G63" s="9"/>
      <c r="H63" s="480">
        <f>1+H62</f>
        <v>100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71</v>
      </c>
      <c r="F64" s="481"/>
      <c r="G64" s="9"/>
      <c r="H64" s="480">
        <f>1+H63</f>
        <v>101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72</v>
      </c>
      <c r="F65" s="481"/>
      <c r="G65" s="9"/>
      <c r="H65" s="480">
        <f>1+H64</f>
        <v>102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73</v>
      </c>
      <c r="F66" s="481"/>
      <c r="G66" s="9"/>
      <c r="H66" s="480">
        <f>1+H65</f>
        <v>103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92D050"/>
    <pageSetUpPr fitToPage="1"/>
  </sheetPr>
  <dimension ref="A1:IU102"/>
  <sheetViews>
    <sheetView topLeftCell="E2" zoomScale="50" zoomScaleNormal="50" zoomScaleSheetLayoutView="40" workbookViewId="0">
      <selection activeCell="G19" sqref="G19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«СШ №3(1)» г.Симферополь</v>
      </c>
      <c r="B1" s="576"/>
      <c r="C1" s="577" t="str">
        <f>IF(D11="","",VLOOKUP(D11,Список!B:O,12,FALSE))</f>
        <v>«СШ №3(2)» г.Симферополь</v>
      </c>
      <c r="D1" s="578"/>
      <c r="E1" s="579">
        <v>35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81</v>
      </c>
      <c r="B2" s="13" t="str">
        <f>IF(A2="","",VLOOKUP(A2,Список!E:O,2,FALSE))</f>
        <v xml:space="preserve"> Пыльник Данил Александрович</v>
      </c>
      <c r="C2" s="14">
        <f>IF($B$11="","",$D$11*10+1)</f>
        <v>101</v>
      </c>
      <c r="D2" s="15" t="str">
        <f>IF(C2="","",VLOOKUP(C2,Список!E:O,2,FALSE))</f>
        <v xml:space="preserve"> Талалай Игорь Сергеевич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82</v>
      </c>
      <c r="B3" s="13" t="str">
        <f>IF(A3="","",VLOOKUP(A3,Список!E:O,2,FALSE))</f>
        <v xml:space="preserve"> Орбакас Антон Эдуардесович</v>
      </c>
      <c r="C3" s="14">
        <f>IF($B$11="","",$D$11*10+2)</f>
        <v>102</v>
      </c>
      <c r="D3" s="15" t="str">
        <f>IF(C3="","",VLOOKUP(C3,Список!E:O,2,FALSE))</f>
        <v xml:space="preserve"> Назаренко Олег Михайлович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83</v>
      </c>
      <c r="B4" s="13" t="str">
        <f>IF(A4="","",VLOOKUP(A4,Список!E:O,2,FALSE))</f>
        <v xml:space="preserve"> Лойко Максим Александрович</v>
      </c>
      <c r="C4" s="14">
        <f>IF($B$11="","",$D$11*10+3)</f>
        <v>103</v>
      </c>
      <c r="D4" s="15" t="str">
        <f>IF(C4="","",VLOOKUP(C4,Список!E:O,2,FALSE))</f>
        <v xml:space="preserve"> Романовский Александр Витальевич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84</v>
      </c>
      <c r="B5" s="13" t="str">
        <f>IF(A5="","",VLOOKUP(A5,Список!E:O,2,FALSE))</f>
        <v>-</v>
      </c>
      <c r="C5" s="14">
        <f>IF($B$11="","",$D$11*10+4)</f>
        <v>104</v>
      </c>
      <c r="D5" s="15" t="str">
        <f>IF(C5="","",VLOOKUP(C5,Список!E:O,2,FALSE))</f>
        <v xml:space="preserve"> Алексеев Игорь Юрьевич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85</v>
      </c>
      <c r="B6" s="13" t="str">
        <f>IF(A6="","",VLOOKUP(A6,Список!E:O,2,FALSE))</f>
        <v>-</v>
      </c>
      <c r="C6" s="14">
        <f>IF($B$11="","",$D$11*10+5)</f>
        <v>105</v>
      </c>
      <c r="D6" s="15" t="str">
        <f>IF(C6="","",VLOOKUP(C6,Список!E:O,2,FALSE))</f>
        <v xml:space="preserve"> Тимофеев Александр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86</v>
      </c>
      <c r="B7" s="13" t="str">
        <f>IF(A7="","",VLOOKUP(A7,Список!E:O,2,FALSE))</f>
        <v>-</v>
      </c>
      <c r="C7" s="14">
        <f>IF($B$11="","",$D$11*10+6)</f>
        <v>106</v>
      </c>
      <c r="D7" s="15" t="str">
        <f>IF(C7="","",VLOOKUP(C7,Список!E:O,2,FALSE))</f>
        <v xml:space="preserve"> Спорышев Александр Алексеевич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87</v>
      </c>
      <c r="B8" s="13" t="str">
        <f>IF(A8="","",VLOOKUP(A8,Список!E:O,2,FALSE))</f>
        <v>-</v>
      </c>
      <c r="C8" s="14">
        <f>IF($B$11="","",$D$11*10+7)</f>
        <v>107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№3(1)»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№3(2)»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88</v>
      </c>
      <c r="B9" s="13" t="str">
        <f>IF(A9="","",VLOOKUP(A9,Список!E:O,2,FALSE))</f>
        <v>-</v>
      </c>
      <c r="C9" s="14">
        <f>IF($B$11="","",$D$11*10+8)</f>
        <v>108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8</v>
      </c>
      <c r="C11" s="27" t="s">
        <v>18</v>
      </c>
      <c r="D11" s="29">
        <f>IF(B11="","",IF(B11=A13,C13,IF(B11=C13,A13,)))</f>
        <v>10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«СШ №3(1)»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№3(2)»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80</v>
      </c>
      <c r="D12" s="25">
        <f>IF(B11="","",D11*10)</f>
        <v>100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8</v>
      </c>
      <c r="B13" s="566"/>
      <c r="C13" s="565">
        <f>IF($E$1="","",VLOOKUP($E$1,'Общее расписание'!$B:$V,3,FALSE))</f>
        <v>10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Филатов Д.В.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7, встреча 35, 8 - 10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35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82</v>
      </c>
      <c r="C16" s="41" t="s">
        <v>35</v>
      </c>
      <c r="D16" s="40">
        <v>105</v>
      </c>
      <c r="E16" s="42" t="s">
        <v>169</v>
      </c>
      <c r="F16" s="42" t="s">
        <v>166</v>
      </c>
      <c r="G16" s="42" t="s">
        <v>157</v>
      </c>
      <c r="H16" s="42" t="s">
        <v>157</v>
      </c>
      <c r="I16" s="42"/>
      <c r="J16" s="43">
        <f>IF(E16="","",IF(E16="0",1000,IF(E16="-0",-1000,E16*1)))</f>
        <v>-8</v>
      </c>
      <c r="K16" s="43">
        <f>IF(F16="","",IF(F16="0",1000,IF(F16="-0",-1000,F16*1)))</f>
        <v>8</v>
      </c>
      <c r="L16" s="43">
        <f>IF(G16="","",IF(G16="0",1000,IF(G16="-0",-1000,G16*1)))</f>
        <v>9</v>
      </c>
      <c r="M16" s="43">
        <f>IF(H16="","",IF(H16="0",1000,IF(H16="-0",-1000,H16*1)))</f>
        <v>9</v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1</v>
      </c>
      <c r="R16" s="44">
        <f t="shared" si="0"/>
        <v>1</v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0</v>
      </c>
      <c r="W16" s="45">
        <f t="shared" si="1"/>
        <v>0</v>
      </c>
      <c r="X16" s="45" t="str">
        <f t="shared" si="1"/>
        <v/>
      </c>
      <c r="Y16" s="46">
        <f>IF(E16="","",SUM(O16:S16))</f>
        <v>3</v>
      </c>
      <c r="Z16" s="46">
        <f>IF(E16="","",SUM(T16:X16))</f>
        <v>1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Орбакас Антон Эдуардесович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Тимофеев Александр Сергеевич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8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8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9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9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1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8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8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 t="str">
        <f>IF(G16="","",IF(L16=1000,11,IF(L16=-1000,0,IF(L16&lt;9,11,IF(L16&gt;9,(L16+2),"0")))))</f>
        <v>0</v>
      </c>
      <c r="HZ16" s="52">
        <f>IF(G16="","",IF(L16=1000,0,IF(L16=-1000,11,IF(L16&lt;0,11,IF(L16&gt;0,(L16),"0")))))</f>
        <v>9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 t="str">
        <f>IF(H16="","",IF(M16=1000,11,IF(M16=-1000,0,IF(M16&lt;9,11,IF(M16&gt;9,(M16+2),"0")))))</f>
        <v>0</v>
      </c>
      <c r="ID16" s="54">
        <f>IF(H16="","",IF(M16=1000,0,IF(M16=-1000,11,IF(M16&lt;0,11,IF(M16&gt;0,(M16),"0")))))</f>
        <v>9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8</v>
      </c>
      <c r="IJ16" s="56">
        <f>IF(F16="","",EY16*1)</f>
        <v>11</v>
      </c>
      <c r="IK16" s="56">
        <f>IF(G16="","",FI16*1)</f>
        <v>11</v>
      </c>
      <c r="IL16" s="56">
        <f>IF(H16="","",FS16*1)</f>
        <v>11</v>
      </c>
      <c r="IM16" s="56" t="str">
        <f>IF(I16="","",GC16*1)</f>
        <v/>
      </c>
      <c r="IN16" s="57">
        <f>IF(E16="","",EU16*1)</f>
        <v>11</v>
      </c>
      <c r="IO16" s="57">
        <f>IF(F16="","",FE16*1)</f>
        <v>8</v>
      </c>
      <c r="IP16" s="57">
        <f>IF(G16="","",FO16*1)</f>
        <v>9</v>
      </c>
      <c r="IQ16" s="57">
        <f>IF(H16="","",FY16*1)</f>
        <v>9</v>
      </c>
      <c r="IR16" s="57" t="str">
        <f>IF(I16="","",GI16*1)</f>
        <v/>
      </c>
      <c r="IS16" s="58">
        <f>IF(E16="","",SUM(II16:IM16))</f>
        <v>41</v>
      </c>
      <c r="IT16" s="58">
        <f>IF(E16="","",SUM(IN16:IR16))</f>
        <v>37</v>
      </c>
    </row>
    <row r="17" spans="1:254" ht="30" customHeight="1" x14ac:dyDescent="0.35">
      <c r="A17" s="39" t="s">
        <v>18</v>
      </c>
      <c r="B17" s="40">
        <v>81</v>
      </c>
      <c r="C17" s="41" t="s">
        <v>34</v>
      </c>
      <c r="D17" s="40">
        <v>101</v>
      </c>
      <c r="E17" s="42" t="s">
        <v>152</v>
      </c>
      <c r="F17" s="42" t="s">
        <v>156</v>
      </c>
      <c r="G17" s="42" t="s">
        <v>156</v>
      </c>
      <c r="H17" s="42"/>
      <c r="I17" s="42"/>
      <c r="J17" s="43">
        <f t="shared" ref="J17:N20" si="2">IF(E17="","",IF(E17="0",1000,IF(E17="-0",-1000,E17*1)))</f>
        <v>-7</v>
      </c>
      <c r="K17" s="43">
        <f t="shared" si="2"/>
        <v>-9</v>
      </c>
      <c r="L17" s="43">
        <f t="shared" si="2"/>
        <v>-9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Пыльник Данил Александрович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Талалай Игорь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7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9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9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7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9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9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7</v>
      </c>
      <c r="IJ17" s="56">
        <f>IF(F17="","",EY17*1)</f>
        <v>9</v>
      </c>
      <c r="IK17" s="56">
        <f>IF(G17="","",FI17*1)</f>
        <v>9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25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83</v>
      </c>
      <c r="C18" s="41" t="s">
        <v>37</v>
      </c>
      <c r="D18" s="40">
        <v>103</v>
      </c>
      <c r="E18" s="42" t="s">
        <v>169</v>
      </c>
      <c r="F18" s="42" t="s">
        <v>163</v>
      </c>
      <c r="G18" s="42" t="s">
        <v>169</v>
      </c>
      <c r="H18" s="42"/>
      <c r="I18" s="42"/>
      <c r="J18" s="43">
        <f t="shared" si="2"/>
        <v>-8</v>
      </c>
      <c r="K18" s="43">
        <f t="shared" si="2"/>
        <v>-2</v>
      </c>
      <c r="L18" s="43">
        <f t="shared" si="2"/>
        <v>-8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Лойко Максим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Романовский Александр Витальевич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8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2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8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8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2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8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8</v>
      </c>
      <c r="IJ18" s="56">
        <f>IF(F18="","",EY18*1)</f>
        <v>2</v>
      </c>
      <c r="IK18" s="56">
        <f>IF(G18="","",FI18*1)</f>
        <v>8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18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82</v>
      </c>
      <c r="C19" s="41" t="s">
        <v>34</v>
      </c>
      <c r="D19" s="59">
        <f>IF(D17=0,"",D17)</f>
        <v>101</v>
      </c>
      <c r="E19" s="42" t="s">
        <v>171</v>
      </c>
      <c r="F19" s="42" t="s">
        <v>173</v>
      </c>
      <c r="G19" s="42" t="s">
        <v>164</v>
      </c>
      <c r="H19" s="42" t="s">
        <v>172</v>
      </c>
      <c r="I19" s="42"/>
      <c r="J19" s="43">
        <f t="shared" si="2"/>
        <v>-6</v>
      </c>
      <c r="K19" s="43">
        <f t="shared" si="2"/>
        <v>-4</v>
      </c>
      <c r="L19" s="43">
        <f t="shared" si="2"/>
        <v>11</v>
      </c>
      <c r="M19" s="43">
        <f t="shared" si="2"/>
        <v>-5</v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1</v>
      </c>
      <c r="R19" s="44">
        <f t="shared" si="0"/>
        <v>0</v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0</v>
      </c>
      <c r="W19" s="45">
        <f t="shared" si="1"/>
        <v>1</v>
      </c>
      <c r="X19" s="45" t="str">
        <f t="shared" si="1"/>
        <v/>
      </c>
      <c r="Y19" s="46">
        <f>IF(E19="","",SUM(O19:S19))</f>
        <v>1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Орбакас Антон Эдуардесович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Талалай Игорь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6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4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13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>
        <f>IF(H19="","",IF(M19&gt;9,IC19,IA19))</f>
        <v>5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11</v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1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6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4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13</v>
      </c>
      <c r="HZ19" s="52">
        <f>IF(G19="","",IF(L19=1000,0,IF(L19=-1000,11,IF(L19&lt;0,11,IF(L19&gt;0,(L19),"0")))))</f>
        <v>11</v>
      </c>
      <c r="IA19" s="53">
        <f>IF(H19="","",IF(M19=1000,11,IF(M19=-1000,0,IF(M19&gt;0,11,IF(M19&lt;0,(-M19),"0")))))</f>
        <v>5</v>
      </c>
      <c r="IB19" s="53" t="str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11</v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6</v>
      </c>
      <c r="IJ19" s="56">
        <f>IF(F19="","",EY19*1)</f>
        <v>4</v>
      </c>
      <c r="IK19" s="56">
        <f>IF(G19="","",FI19*1)</f>
        <v>13</v>
      </c>
      <c r="IL19" s="56">
        <f>IF(H19="","",FS19*1)</f>
        <v>5</v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>
        <f>IF(H19="","",FY19*1)</f>
        <v>11</v>
      </c>
      <c r="IR19" s="57" t="str">
        <f>IF(I19="","",GI19*1)</f>
        <v/>
      </c>
      <c r="IS19" s="58">
        <f>IF(E19="","",SUM(II19:IM19))</f>
        <v>28</v>
      </c>
      <c r="IT19" s="58">
        <f>IF(E19="","",SUM(IN19:IR19))</f>
        <v>44</v>
      </c>
    </row>
    <row r="20" spans="1:254" ht="30" customHeight="1" thickBot="1" x14ac:dyDescent="0.4">
      <c r="A20" s="39" t="s">
        <v>18</v>
      </c>
      <c r="B20" s="59">
        <f>IF(B17=0,"",B17)</f>
        <v>81</v>
      </c>
      <c r="C20" s="41" t="s">
        <v>35</v>
      </c>
      <c r="D20" s="59">
        <f>IF(D16=0,"",D16)</f>
        <v>105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Пыльник Данил Александрович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Тимофеев Александр Сергеевич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10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«СШ №3(2)»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4</v>
      </c>
      <c r="GN21" s="222"/>
      <c r="GO21" s="222"/>
      <c r="GP21" s="222"/>
      <c r="GQ21" s="222"/>
      <c r="GR21" s="222"/>
      <c r="GS21" s="223"/>
      <c r="GT21" s="224">
        <f>IF(E16="","",SUM(GT16:GZ20))</f>
        <v>10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112</v>
      </c>
      <c r="IT21" s="65">
        <f>IF(E16="","",SUM(IT16:IT20))</f>
        <v>147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35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«СШ №3(1)»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№3(2)»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82</v>
      </c>
      <c r="F57" s="481"/>
      <c r="G57" s="9"/>
      <c r="H57" s="480">
        <f>C2</f>
        <v>101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83</v>
      </c>
      <c r="F58" s="481"/>
      <c r="G58" s="9"/>
      <c r="H58" s="480">
        <f>C4</f>
        <v>103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86</v>
      </c>
      <c r="F59" s="481"/>
      <c r="G59" s="9"/>
      <c r="H59" s="480">
        <f>C7</f>
        <v>106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87</v>
      </c>
      <c r="F60" s="481"/>
      <c r="G60" s="9"/>
      <c r="H60" s="480">
        <f>C8</f>
        <v>107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88</v>
      </c>
      <c r="F61" s="481"/>
      <c r="G61" s="9"/>
      <c r="H61" s="480">
        <f>C9</f>
        <v>108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89</v>
      </c>
      <c r="F62" s="481"/>
      <c r="G62" s="9"/>
      <c r="H62" s="480">
        <f>1+H61</f>
        <v>109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90</v>
      </c>
      <c r="F63" s="481"/>
      <c r="G63" s="9"/>
      <c r="H63" s="480">
        <f>1+H62</f>
        <v>110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91</v>
      </c>
      <c r="F64" s="481"/>
      <c r="G64" s="9"/>
      <c r="H64" s="480">
        <f>1+H63</f>
        <v>111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92</v>
      </c>
      <c r="F65" s="481"/>
      <c r="G65" s="9"/>
      <c r="H65" s="480">
        <f>1+H64</f>
        <v>112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93</v>
      </c>
      <c r="F66" s="481"/>
      <c r="G66" s="9"/>
      <c r="H66" s="480">
        <f>1+H65</f>
        <v>113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  <pageSetUpPr fitToPage="1"/>
  </sheetPr>
  <dimension ref="A1:IU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«Интер»  г.Евпатория</v>
      </c>
      <c r="B1" s="576"/>
      <c r="C1" s="577" t="str">
        <f>IF(D11="","",VLOOKUP(D11,Список!B:O,12,FALSE))</f>
        <v>«Аэропорт - СШ №3» г.Симферополь</v>
      </c>
      <c r="D1" s="578"/>
      <c r="E1" s="579">
        <v>36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31</v>
      </c>
      <c r="B2" s="13" t="str">
        <f>IF(A2="","",VLOOKUP(A2,Список!E:O,2,FALSE))</f>
        <v xml:space="preserve"> Сорбало Владислав Федорович</v>
      </c>
      <c r="C2" s="14">
        <f>IF($B$11="","",$D$11*10+1)</f>
        <v>21</v>
      </c>
      <c r="D2" s="15" t="str">
        <f>IF(C2="","",VLOOKUP(C2,Список!E:O,2,FALSE))</f>
        <v xml:space="preserve"> Павлина Сергей Станиславович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32</v>
      </c>
      <c r="B3" s="13" t="str">
        <f>IF(A3="","",VLOOKUP(A3,Список!E:O,2,FALSE))</f>
        <v xml:space="preserve"> Каулик Алексей Сергеевич</v>
      </c>
      <c r="C3" s="14">
        <f>IF($B$11="","",$D$11*10+2)</f>
        <v>22</v>
      </c>
      <c r="D3" s="15" t="str">
        <f>IF(C3="","",VLOOKUP(C3,Список!E:O,2,FALSE))</f>
        <v xml:space="preserve"> Банников Юрий Владимирович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33</v>
      </c>
      <c r="B4" s="13" t="str">
        <f>IF(A4="","",VLOOKUP(A4,Список!E:O,2,FALSE))</f>
        <v xml:space="preserve"> Скрипин Василий Иванович</v>
      </c>
      <c r="C4" s="14">
        <f>IF($B$11="","",$D$11*10+3)</f>
        <v>23</v>
      </c>
      <c r="D4" s="15" t="str">
        <f>IF(C4="","",VLOOKUP(C4,Список!E:O,2,FALSE))</f>
        <v xml:space="preserve"> Лодыгин Владимир Вадимович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34</v>
      </c>
      <c r="B5" s="13" t="str">
        <f>IF(A5="","",VLOOKUP(A5,Список!E:O,2,FALSE))</f>
        <v xml:space="preserve"> Сыч Станислав Викторович</v>
      </c>
      <c r="C5" s="14">
        <f>IF($B$11="","",$D$11*10+4)</f>
        <v>24</v>
      </c>
      <c r="D5" s="15" t="str">
        <f>IF(C5="","",VLOOKUP(C5,Список!E:O,2,FALSE))</f>
        <v xml:space="preserve"> Соловей Юрий Анатольевич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35</v>
      </c>
      <c r="B6" s="13" t="str">
        <f>IF(A6="","",VLOOKUP(A6,Список!E:O,2,FALSE))</f>
        <v xml:space="preserve"> Марусич Дмитрий Олегович</v>
      </c>
      <c r="C6" s="14">
        <f>IF($B$11="","",$D$11*10+5)</f>
        <v>25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36</v>
      </c>
      <c r="B7" s="13" t="str">
        <f>IF(A7="","",VLOOKUP(A7,Список!E:O,2,FALSE))</f>
        <v xml:space="preserve"> Кафиев Артур Рафаилович</v>
      </c>
      <c r="C7" s="14">
        <f>IF($B$11="","",$D$11*10+6)</f>
        <v>26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37</v>
      </c>
      <c r="B8" s="13" t="str">
        <f>IF(A8="","",VLOOKUP(A8,Список!E:O,2,FALSE))</f>
        <v xml:space="preserve"> Калинин Илья Валерьевич</v>
      </c>
      <c r="C8" s="14">
        <f>IF($B$11="","",$D$11*10+7)</f>
        <v>27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«Интер»  г.Евпатория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«Аэропорт - СШ №3»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38</v>
      </c>
      <c r="B9" s="13" t="str">
        <f>IF(A9="","",VLOOKUP(A9,Список!E:O,2,FALSE))</f>
        <v xml:space="preserve"> Скрипин Иван Васильевич</v>
      </c>
      <c r="C9" s="14">
        <f>IF($B$11="","",$D$11*10+8)</f>
        <v>28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3</v>
      </c>
      <c r="C11" s="27" t="s">
        <v>18</v>
      </c>
      <c r="D11" s="29">
        <f>IF(B11="","",IF(B11=A13,C13,IF(B11=C13,A13,)))</f>
        <v>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«Интер»  г.Евпатория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«Аэропорт - СШ №3»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30</v>
      </c>
      <c r="D12" s="25">
        <f>IF(B11="","",D11*10)</f>
        <v>20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3</v>
      </c>
      <c r="B13" s="566"/>
      <c r="C13" s="565">
        <f>IF($E$1="","",VLOOKUP($E$1,'Общее расписание'!$B:$V,3,FALSE))</f>
        <v>2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Хилик К.А., Скрипин В.И.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Банников Ю.В.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8, встреча 36, 3 - 2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36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32</v>
      </c>
      <c r="C16" s="41" t="s">
        <v>35</v>
      </c>
      <c r="D16" s="40">
        <v>23</v>
      </c>
      <c r="E16" s="42"/>
      <c r="F16" s="42"/>
      <c r="G16" s="42"/>
      <c r="H16" s="42"/>
      <c r="I16" s="42"/>
      <c r="J16" s="43" t="str">
        <f>IF(E16="","",IF(E16="0",1000,IF(E16="-0",-1000,E16*1)))</f>
        <v/>
      </c>
      <c r="K16" s="43" t="str">
        <f>IF(F16="","",IF(F16="0",1000,IF(F16="-0",-1000,F16*1)))</f>
        <v/>
      </c>
      <c r="L16" s="43" t="str">
        <f>IF(G16="","",IF(G16="0",1000,IF(G16="-0",-1000,G16*1)))</f>
        <v/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 t="str">
        <f>IF(J16="","",IF(J16&gt;0,1,0))</f>
        <v/>
      </c>
      <c r="P16" s="44" t="str">
        <f t="shared" ref="P16:S20" si="0">IF(K16="","",IF(K16&gt;0,1,0))</f>
        <v/>
      </c>
      <c r="Q16" s="44" t="str">
        <f t="shared" si="0"/>
        <v/>
      </c>
      <c r="R16" s="44" t="str">
        <f t="shared" si="0"/>
        <v/>
      </c>
      <c r="S16" s="44" t="str">
        <f t="shared" si="0"/>
        <v/>
      </c>
      <c r="T16" s="45" t="str">
        <f t="shared" ref="T16:X20" si="1">IF(J16="","",IF(J16&lt;0,1,0))</f>
        <v/>
      </c>
      <c r="U16" s="45" t="str">
        <f t="shared" si="1"/>
        <v/>
      </c>
      <c r="V16" s="45" t="str">
        <f t="shared" si="1"/>
        <v/>
      </c>
      <c r="W16" s="45" t="str">
        <f t="shared" si="1"/>
        <v/>
      </c>
      <c r="X16" s="45" t="str">
        <f t="shared" si="1"/>
        <v/>
      </c>
      <c r="Y16" s="46" t="str">
        <f>IF(E16="","",SUM(O16:S16))</f>
        <v/>
      </c>
      <c r="Z16" s="46" t="str">
        <f>IF(E16="","",SUM(T16:X16))</f>
        <v/>
      </c>
      <c r="AA16" s="47" t="str">
        <f>IF(E16="","",IF(Y16&gt;Z16,1,0))</f>
        <v/>
      </c>
      <c r="AB16" s="48" t="str">
        <f>IF(E16="","",IF(Y16&lt;Z16,1,0))</f>
        <v/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Каулик Алексей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Лодыгин Владимир Вадимович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 t="str">
        <f>IF(E16="","",IF(J16&gt;9,HQ16,HO16))</f>
        <v/>
      </c>
      <c r="EP16" s="320"/>
      <c r="EQ16" s="320"/>
      <c r="ER16" s="320"/>
      <c r="ES16" s="314" t="str">
        <f>IF(EO16="","","-")</f>
        <v/>
      </c>
      <c r="ET16" s="314"/>
      <c r="EU16" s="320" t="str">
        <f>IF(E16="","",IF(J16&lt;-9,HP16,HR16))</f>
        <v/>
      </c>
      <c r="EV16" s="320"/>
      <c r="EW16" s="320"/>
      <c r="EX16" s="321"/>
      <c r="EY16" s="322" t="str">
        <f>IF(F16="","",IF(K16&gt;9,HU16,HS16))</f>
        <v/>
      </c>
      <c r="EZ16" s="320"/>
      <c r="FA16" s="320"/>
      <c r="FB16" s="320"/>
      <c r="FC16" s="323" t="str">
        <f>IF(EY16="","","-")</f>
        <v/>
      </c>
      <c r="FD16" s="323"/>
      <c r="FE16" s="320" t="str">
        <f>IF(F16="","",IF(K16&lt;-9,HT16,HV16))</f>
        <v/>
      </c>
      <c r="FF16" s="320"/>
      <c r="FG16" s="320"/>
      <c r="FH16" s="321"/>
      <c r="FI16" s="322" t="str">
        <f>IF(G16="","",IF(L16&gt;9,HY16,HW16))</f>
        <v/>
      </c>
      <c r="FJ16" s="320"/>
      <c r="FK16" s="320"/>
      <c r="FL16" s="320"/>
      <c r="FM16" s="323" t="str">
        <f>IF(FI16="","","-")</f>
        <v/>
      </c>
      <c r="FN16" s="323"/>
      <c r="FO16" s="320" t="str">
        <f>IF(G16="","",IF(L16&lt;-9,HX16,HZ16))</f>
        <v/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 t="str">
        <f>Y16</f>
        <v/>
      </c>
      <c r="GN16" s="310"/>
      <c r="GO16" s="310"/>
      <c r="GP16" s="310"/>
      <c r="GQ16" s="310"/>
      <c r="GR16" s="310"/>
      <c r="GS16" s="311"/>
      <c r="GT16" s="312" t="str">
        <f>Z16</f>
        <v/>
      </c>
      <c r="GU16" s="310"/>
      <c r="GV16" s="310"/>
      <c r="GW16" s="310"/>
      <c r="GX16" s="310"/>
      <c r="GY16" s="310"/>
      <c r="GZ16" s="313"/>
      <c r="HA16" s="315" t="str">
        <f>AA16</f>
        <v/>
      </c>
      <c r="HB16" s="316"/>
      <c r="HC16" s="316"/>
      <c r="HD16" s="316"/>
      <c r="HE16" s="316"/>
      <c r="HF16" s="316"/>
      <c r="HG16" s="317"/>
      <c r="HH16" s="318" t="str">
        <f>AB16</f>
        <v/>
      </c>
      <c r="HI16" s="316"/>
      <c r="HJ16" s="316"/>
      <c r="HK16" s="316"/>
      <c r="HL16" s="316"/>
      <c r="HM16" s="316"/>
      <c r="HN16" s="319"/>
      <c r="HO16" s="49" t="str">
        <f>IF(E16="","",IF(J16=1000,11,IF(J16=-1000,0,IF(J16&gt;0,11,IF(J16&lt;0,(-J16),"0")))))</f>
        <v/>
      </c>
      <c r="HP16" s="50" t="str">
        <f>IF(E16="","",IF(J16=1000,0,IF(J16=-1000,11,IF(J16&lt;-9,-(J16-2),IF(J16&gt;0,(GU16),"0")))))</f>
        <v/>
      </c>
      <c r="HQ16" s="51" t="str">
        <f>IF(E16="","",IF(J16=1000,11,IF(J16=-1000,0,IF(J16&lt;9,11,IF(J16&gt;9,(J16+2),"0")))))</f>
        <v/>
      </c>
      <c r="HR16" s="52" t="str">
        <f>IF(E16="","",IF(J16=1000,0,IF(J16=-1000,11,IF(J16&lt;0,11,IF(J16&gt;0,(J16),"0")))))</f>
        <v/>
      </c>
      <c r="HS16" s="53" t="str">
        <f>IF(F16="","",IF(K16=1000,11,IF(K16=-1000,0,IF(K16&gt;0,11,IF(K16&lt;0,(-K16),"0")))))</f>
        <v/>
      </c>
      <c r="HT16" s="53" t="str">
        <f>IF(F16="","",IF(K16=1000,0,IF(K16=-1000,11,IF(K16&lt;-9,-(K16-2),IF(K16&gt;0,(GV16),"0")))))</f>
        <v/>
      </c>
      <c r="HU16" s="54" t="str">
        <f>IF(F16="","",IF(K16=1000,11,IF(K16=-1000,0,IF(K16&lt;9,11,IF(K16&gt;9,(K16+2),"0")))))</f>
        <v/>
      </c>
      <c r="HV16" s="54" t="str">
        <f>IF(F16="","",IF(K16=1000,0,IF(K16=-1000,11,IF(K16&lt;0,11,IF(K16&gt;0,(K16),"0")))))</f>
        <v/>
      </c>
      <c r="HW16" s="49" t="str">
        <f>IF(G16="","",IF(L16=1000,11,IF(L16=-1000,0,IF(L16&gt;0,11,IF(L16&lt;0,(-L16),"0")))))</f>
        <v/>
      </c>
      <c r="HX16" s="50" t="str">
        <f>IF(G16="","",IF(L16=1000,0,IF(L16=-1000,11,IF(L16&lt;-9,-(L16-2),IF(L16&gt;0,(GW16),"0")))))</f>
        <v/>
      </c>
      <c r="HY16" s="51" t="str">
        <f>IF(G16="","",IF(L16=1000,11,IF(L16=-1000,0,IF(L16&lt;9,11,IF(L16&gt;9,(L16+2),"0")))))</f>
        <v/>
      </c>
      <c r="HZ16" s="52" t="str">
        <f>IF(G16="","",IF(L16=1000,0,IF(L16=-1000,11,IF(L16&lt;0,11,IF(L16&gt;0,(L16),"0")))))</f>
        <v/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 t="str">
        <f>IF(E16="","",EO16*1)</f>
        <v/>
      </c>
      <c r="IJ16" s="56" t="str">
        <f>IF(F16="","",EY16*1)</f>
        <v/>
      </c>
      <c r="IK16" s="56" t="str">
        <f>IF(G16="","",FI16*1)</f>
        <v/>
      </c>
      <c r="IL16" s="56" t="str">
        <f>IF(H16="","",FS16*1)</f>
        <v/>
      </c>
      <c r="IM16" s="56" t="str">
        <f>IF(I16="","",GC16*1)</f>
        <v/>
      </c>
      <c r="IN16" s="57" t="str">
        <f>IF(E16="","",EU16*1)</f>
        <v/>
      </c>
      <c r="IO16" s="57" t="str">
        <f>IF(F16="","",FE16*1)</f>
        <v/>
      </c>
      <c r="IP16" s="57" t="str">
        <f>IF(G16="","",FO16*1)</f>
        <v/>
      </c>
      <c r="IQ16" s="57" t="str">
        <f>IF(H16="","",FY16*1)</f>
        <v/>
      </c>
      <c r="IR16" s="57" t="str">
        <f>IF(I16="","",GI16*1)</f>
        <v/>
      </c>
      <c r="IS16" s="58" t="str">
        <f>IF(E16="","",SUM(II16:IM16))</f>
        <v/>
      </c>
      <c r="IT16" s="58" t="str">
        <f>IF(E16="","",SUM(IN16:IR16))</f>
        <v/>
      </c>
    </row>
    <row r="17" spans="1:254" ht="30" customHeight="1" x14ac:dyDescent="0.35">
      <c r="A17" s="39" t="s">
        <v>18</v>
      </c>
      <c r="B17" s="40">
        <v>31</v>
      </c>
      <c r="C17" s="41" t="s">
        <v>34</v>
      </c>
      <c r="D17" s="40">
        <v>21</v>
      </c>
      <c r="E17" s="42"/>
      <c r="F17" s="42"/>
      <c r="G17" s="42"/>
      <c r="H17" s="42"/>
      <c r="I17" s="42"/>
      <c r="J17" s="43" t="str">
        <f t="shared" ref="J17:N20" si="2">IF(E17="","",IF(E17="0",1000,IF(E17="-0",-1000,E17*1)))</f>
        <v/>
      </c>
      <c r="K17" s="43" t="str">
        <f t="shared" si="2"/>
        <v/>
      </c>
      <c r="L17" s="43" t="str">
        <f t="shared" si="2"/>
        <v/>
      </c>
      <c r="M17" s="43" t="str">
        <f t="shared" si="2"/>
        <v/>
      </c>
      <c r="N17" s="43" t="str">
        <f t="shared" si="2"/>
        <v/>
      </c>
      <c r="O17" s="44" t="str">
        <f>IF(J17="","",IF(J17&gt;0,1,0))</f>
        <v/>
      </c>
      <c r="P17" s="44" t="str">
        <f t="shared" si="0"/>
        <v/>
      </c>
      <c r="Q17" s="44" t="str">
        <f t="shared" si="0"/>
        <v/>
      </c>
      <c r="R17" s="44" t="str">
        <f t="shared" si="0"/>
        <v/>
      </c>
      <c r="S17" s="44" t="str">
        <f t="shared" si="0"/>
        <v/>
      </c>
      <c r="T17" s="45" t="str">
        <f t="shared" si="1"/>
        <v/>
      </c>
      <c r="U17" s="45" t="str">
        <f t="shared" si="1"/>
        <v/>
      </c>
      <c r="V17" s="45" t="str">
        <f t="shared" si="1"/>
        <v/>
      </c>
      <c r="W17" s="45" t="str">
        <f t="shared" si="1"/>
        <v/>
      </c>
      <c r="X17" s="45" t="str">
        <f t="shared" si="1"/>
        <v/>
      </c>
      <c r="Y17" s="46" t="str">
        <f>IF(E17="","",SUM(O17:S17))</f>
        <v/>
      </c>
      <c r="Z17" s="46" t="str">
        <f>IF(E17="","",SUM(T17:X17))</f>
        <v/>
      </c>
      <c r="AA17" s="47" t="str">
        <f>IF(E17="","",IF(Y17&gt;Z17,1,0))</f>
        <v/>
      </c>
      <c r="AB17" s="48" t="str">
        <f>IF(E17="","",IF(Y17&lt;Z17,1,0))</f>
        <v/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Сорбало Владислав Федорович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Павлина Сергей Станиславович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 t="str">
        <f>IF(E17="","",IF(J17&gt;9,HQ17,HO17))</f>
        <v/>
      </c>
      <c r="EP17" s="255"/>
      <c r="EQ17" s="255"/>
      <c r="ER17" s="255"/>
      <c r="ES17" s="297" t="str">
        <f>IF(EO17="","","-")</f>
        <v/>
      </c>
      <c r="ET17" s="297"/>
      <c r="EU17" s="255" t="str">
        <f>IF(E17="","",IF(J17&lt;-9,HP17,HR17))</f>
        <v/>
      </c>
      <c r="EV17" s="255"/>
      <c r="EW17" s="255"/>
      <c r="EX17" s="256"/>
      <c r="EY17" s="257" t="str">
        <f>IF(F17="","",IF(K17&gt;9,HU17,HS17))</f>
        <v/>
      </c>
      <c r="EZ17" s="255"/>
      <c r="FA17" s="255"/>
      <c r="FB17" s="255"/>
      <c r="FC17" s="254" t="str">
        <f>IF(EY17="","","-")</f>
        <v/>
      </c>
      <c r="FD17" s="254"/>
      <c r="FE17" s="255" t="str">
        <f>IF(F17="","",IF(K17&lt;-9,HT17,HV17))</f>
        <v/>
      </c>
      <c r="FF17" s="255"/>
      <c r="FG17" s="255"/>
      <c r="FH17" s="256"/>
      <c r="FI17" s="257" t="str">
        <f>IF(G17="","",IF(L17&gt;9,HY17,HW17))</f>
        <v/>
      </c>
      <c r="FJ17" s="255"/>
      <c r="FK17" s="255"/>
      <c r="FL17" s="255"/>
      <c r="FM17" s="254" t="str">
        <f>IF(FI17="","","-")</f>
        <v/>
      </c>
      <c r="FN17" s="254"/>
      <c r="FO17" s="255" t="str">
        <f>IF(G17="","",IF(L17&lt;-9,HX17,HZ17))</f>
        <v/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 t="str">
        <f>Y17</f>
        <v/>
      </c>
      <c r="GN17" s="247"/>
      <c r="GO17" s="247"/>
      <c r="GP17" s="247"/>
      <c r="GQ17" s="247"/>
      <c r="GR17" s="247"/>
      <c r="GS17" s="304"/>
      <c r="GT17" s="246" t="str">
        <f>Z17</f>
        <v/>
      </c>
      <c r="GU17" s="247"/>
      <c r="GV17" s="247"/>
      <c r="GW17" s="247"/>
      <c r="GX17" s="247"/>
      <c r="GY17" s="247"/>
      <c r="GZ17" s="248"/>
      <c r="HA17" s="249" t="str">
        <f>AA17</f>
        <v/>
      </c>
      <c r="HB17" s="250"/>
      <c r="HC17" s="250"/>
      <c r="HD17" s="250"/>
      <c r="HE17" s="250"/>
      <c r="HF17" s="250"/>
      <c r="HG17" s="251"/>
      <c r="HH17" s="252" t="str">
        <f>AB17</f>
        <v/>
      </c>
      <c r="HI17" s="250"/>
      <c r="HJ17" s="250"/>
      <c r="HK17" s="250"/>
      <c r="HL17" s="250"/>
      <c r="HM17" s="250"/>
      <c r="HN17" s="253"/>
      <c r="HO17" s="49" t="str">
        <f>IF(E17="","",IF(J17=1000,11,IF(J17=-1000,0,IF(J17&gt;0,11,IF(J17&lt;0,(-J17),"0")))))</f>
        <v/>
      </c>
      <c r="HP17" s="50" t="str">
        <f>IF(E17="","",IF(J17=1000,0,IF(J17=-1000,11,IF(J17&lt;-9,-(J17-2),IF(J17&gt;0,(GU17),"0")))))</f>
        <v/>
      </c>
      <c r="HQ17" s="51" t="str">
        <f>IF(E17="","",IF(J17=1000,11,IF(J17=-1000,0,IF(J17&lt;9,11,IF(J17&gt;9,(J17+2),"0")))))</f>
        <v/>
      </c>
      <c r="HR17" s="52" t="str">
        <f>IF(E17="","",IF(J17=1000,0,IF(J17=-1000,11,IF(J17&lt;0,11,IF(J17&gt;0,(J17),"0")))))</f>
        <v/>
      </c>
      <c r="HS17" s="53" t="str">
        <f>IF(F17="","",IF(K17=1000,11,IF(K17=-1000,0,IF(K17&gt;0,11,IF(K17&lt;0,(-K17),"0")))))</f>
        <v/>
      </c>
      <c r="HT17" s="53" t="str">
        <f>IF(F17="","",IF(K17=1000,0,IF(K17=-1000,11,IF(K17&lt;-9,-(K17-2),IF(K17&gt;0,(GV17),"0")))))</f>
        <v/>
      </c>
      <c r="HU17" s="54" t="str">
        <f>IF(F17="","",IF(K17=1000,11,IF(K17=-1000,0,IF(K17&lt;9,11,IF(K17&gt;9,(K17+2),"0")))))</f>
        <v/>
      </c>
      <c r="HV17" s="54" t="str">
        <f>IF(F17="","",IF(K17=1000,0,IF(K17=-1000,11,IF(K17&lt;0,11,IF(K17&gt;0,(K17),"0")))))</f>
        <v/>
      </c>
      <c r="HW17" s="49" t="str">
        <f>IF(G17="","",IF(L17=1000,11,IF(L17=-1000,0,IF(L17&gt;0,11,IF(L17&lt;0,(-L17),"0")))))</f>
        <v/>
      </c>
      <c r="HX17" s="50" t="str">
        <f>IF(G17="","",IF(L17=1000,0,IF(L17=-1000,11,IF(L17&lt;-9,-(L17-2),IF(L17&gt;0,(GW17),"0")))))</f>
        <v/>
      </c>
      <c r="HY17" s="51" t="str">
        <f>IF(G17="","",IF(L17=1000,11,IF(L17=-1000,0,IF(L17&lt;9,11,IF(L17&gt;9,(L17+2),"0")))))</f>
        <v/>
      </c>
      <c r="HZ17" s="52" t="str">
        <f>IF(G17="","",IF(L17=1000,0,IF(L17=-1000,11,IF(L17&lt;0,11,IF(L17&gt;0,(L17),"0")))))</f>
        <v/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 t="str">
        <f>IF(E17="","",EO17*1)</f>
        <v/>
      </c>
      <c r="IJ17" s="56" t="str">
        <f>IF(F17="","",EY17*1)</f>
        <v/>
      </c>
      <c r="IK17" s="56" t="str">
        <f>IF(G17="","",FI17*1)</f>
        <v/>
      </c>
      <c r="IL17" s="56" t="str">
        <f>IF(H17="","",FS17*1)</f>
        <v/>
      </c>
      <c r="IM17" s="56" t="str">
        <f>IF(I17="","",GC17*1)</f>
        <v/>
      </c>
      <c r="IN17" s="57" t="str">
        <f>IF(E17="","",EU17*1)</f>
        <v/>
      </c>
      <c r="IO17" s="57" t="str">
        <f>IF(F17="","",FE17*1)</f>
        <v/>
      </c>
      <c r="IP17" s="57" t="str">
        <f>IF(G17="","",FO17*1)</f>
        <v/>
      </c>
      <c r="IQ17" s="57" t="str">
        <f>IF(H17="","",FY17*1)</f>
        <v/>
      </c>
      <c r="IR17" s="57" t="str">
        <f>IF(I17="","",GI17*1)</f>
        <v/>
      </c>
      <c r="IS17" s="58" t="str">
        <f>IF(E17="","",SUM(II17:IM17))</f>
        <v/>
      </c>
      <c r="IT17" s="58" t="str">
        <f>IF(E17="","",SUM(IN17:IR17))</f>
        <v/>
      </c>
    </row>
    <row r="18" spans="1:254" ht="30" customHeight="1" x14ac:dyDescent="0.2">
      <c r="A18" s="39" t="s">
        <v>36</v>
      </c>
      <c r="B18" s="40">
        <v>36</v>
      </c>
      <c r="C18" s="41" t="s">
        <v>37</v>
      </c>
      <c r="D18" s="40">
        <v>22</v>
      </c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Кафиев Артур Рафаилович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Банников Юрий Владимирович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32</v>
      </c>
      <c r="C19" s="41" t="s">
        <v>34</v>
      </c>
      <c r="D19" s="59">
        <f>IF(D17=0,"",D17)</f>
        <v>21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Каулик Алексей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Павлина Сергей Станиславович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31</v>
      </c>
      <c r="C20" s="41" t="s">
        <v>35</v>
      </c>
      <c r="D20" s="59">
        <f>IF(D16=0,"",D16)</f>
        <v>23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Сорбало Владислав Федорович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Лодыгин Владимир Вадимович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 t="str">
        <f>IF(E16="","",SUM(GM16:GS20))</f>
        <v/>
      </c>
      <c r="GN21" s="222"/>
      <c r="GO21" s="222"/>
      <c r="GP21" s="222"/>
      <c r="GQ21" s="222"/>
      <c r="GR21" s="222"/>
      <c r="GS21" s="223"/>
      <c r="GT21" s="224" t="str">
        <f>IF(E16="","",SUM(GT16:GZ20))</f>
        <v/>
      </c>
      <c r="GU21" s="225"/>
      <c r="GV21" s="225"/>
      <c r="GW21" s="225"/>
      <c r="GX21" s="225"/>
      <c r="GY21" s="225"/>
      <c r="GZ21" s="226"/>
      <c r="HA21" s="227" t="str">
        <f>IF(E16="","",SUM(HA16:HG20))</f>
        <v/>
      </c>
      <c r="HB21" s="228"/>
      <c r="HC21" s="228"/>
      <c r="HD21" s="228"/>
      <c r="HE21" s="228"/>
      <c r="HF21" s="228"/>
      <c r="HG21" s="229"/>
      <c r="HH21" s="230" t="str">
        <f>IF(E16="","",SUM(HH16:HN20))</f>
        <v/>
      </c>
      <c r="HI21" s="228"/>
      <c r="HJ21" s="228"/>
      <c r="HK21" s="228"/>
      <c r="HL21" s="228"/>
      <c r="HM21" s="228"/>
      <c r="HN21" s="231"/>
      <c r="IS21" s="64" t="str">
        <f>IF(E16="","",SUM(IS16:IS20))</f>
        <v/>
      </c>
      <c r="IT21" s="65" t="str">
        <f>IF(E16="","",SUM(IT16:IT20))</f>
        <v/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36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«Интер»  г.Евпатория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«Аэропорт - СШ №3»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32</v>
      </c>
      <c r="F57" s="481"/>
      <c r="G57" s="9"/>
      <c r="H57" s="480">
        <f>C2</f>
        <v>21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33</v>
      </c>
      <c r="F58" s="481"/>
      <c r="G58" s="9"/>
      <c r="H58" s="480">
        <f>C4</f>
        <v>23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36</v>
      </c>
      <c r="F59" s="481"/>
      <c r="G59" s="9"/>
      <c r="H59" s="480">
        <f>C7</f>
        <v>26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37</v>
      </c>
      <c r="F60" s="481"/>
      <c r="G60" s="9"/>
      <c r="H60" s="480">
        <f>C8</f>
        <v>27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38</v>
      </c>
      <c r="F61" s="481"/>
      <c r="G61" s="9"/>
      <c r="H61" s="480">
        <f>C9</f>
        <v>28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39</v>
      </c>
      <c r="F62" s="481"/>
      <c r="G62" s="9"/>
      <c r="H62" s="480">
        <f>1+H61</f>
        <v>29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40</v>
      </c>
      <c r="F63" s="481"/>
      <c r="G63" s="9"/>
      <c r="H63" s="480">
        <f>1+H62</f>
        <v>30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41</v>
      </c>
      <c r="F64" s="481"/>
      <c r="G64" s="9"/>
      <c r="H64" s="480">
        <f>1+H63</f>
        <v>31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42</v>
      </c>
      <c r="F65" s="481"/>
      <c r="G65" s="9"/>
      <c r="H65" s="480">
        <f>1+H64</f>
        <v>32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43</v>
      </c>
      <c r="F66" s="481"/>
      <c r="G66" s="9"/>
      <c r="H66" s="480">
        <f>1+H65</f>
        <v>33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  <pageSetUpPr fitToPage="1"/>
  </sheetPr>
  <dimension ref="A1:IU102"/>
  <sheetViews>
    <sheetView zoomScale="50" zoomScaleNormal="50" zoomScaleSheetLayoutView="40" workbookViewId="0">
      <selection activeCell="I18" sqref="I18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«Дрим Тим» г.Симферополь</v>
      </c>
      <c r="B1" s="576"/>
      <c r="C1" s="577" t="str">
        <f>IF(D11="","",VLOOKUP(D11,Список!B:O,12,FALSE))</f>
        <v>«Рассвет» г.Симферополь</v>
      </c>
      <c r="D1" s="578"/>
      <c r="E1" s="579">
        <v>37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41</v>
      </c>
      <c r="B2" s="13" t="str">
        <f>IF(A2="","",VLOOKUP(A2,Список!E:O,2,FALSE))</f>
        <v xml:space="preserve"> Гаврилов Денис Михайлович</v>
      </c>
      <c r="C2" s="14">
        <f>IF($B$11="","",$D$11*10+1)</f>
        <v>51</v>
      </c>
      <c r="D2" s="15" t="str">
        <f>IF(C2="","",VLOOKUP(C2,Список!E:O,2,FALSE))</f>
        <v xml:space="preserve"> Пикульский Никита Петрович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42</v>
      </c>
      <c r="B3" s="13" t="str">
        <f>IF(A3="","",VLOOKUP(A3,Список!E:O,2,FALSE))</f>
        <v xml:space="preserve"> Курило Игорь Сергеевич</v>
      </c>
      <c r="C3" s="14">
        <f>IF($B$11="","",$D$11*10+2)</f>
        <v>52</v>
      </c>
      <c r="D3" s="15" t="str">
        <f>IF(C3="","",VLOOKUP(C3,Список!E:O,2,FALSE))</f>
        <v xml:space="preserve"> Третьяков Олег Маратович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43</v>
      </c>
      <c r="B4" s="13" t="str">
        <f>IF(A4="","",VLOOKUP(A4,Список!E:O,2,FALSE))</f>
        <v xml:space="preserve"> Длугоканский Андрей Александрович</v>
      </c>
      <c r="C4" s="14">
        <f>IF($B$11="","",$D$11*10+3)</f>
        <v>53</v>
      </c>
      <c r="D4" s="15" t="str">
        <f>IF(C4="","",VLOOKUP(C4,Список!E:O,2,FALSE))</f>
        <v xml:space="preserve"> Рехтин Андрей Павлович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44</v>
      </c>
      <c r="B5" s="13" t="str">
        <f>IF(A5="","",VLOOKUP(A5,Список!E:O,2,FALSE))</f>
        <v xml:space="preserve"> Полтев Данил Сергеевич</v>
      </c>
      <c r="C5" s="14">
        <f>IF($B$11="","",$D$11*10+4)</f>
        <v>54</v>
      </c>
      <c r="D5" s="15" t="str">
        <f>IF(C5="","",VLOOKUP(C5,Список!E:O,2,FALSE))</f>
        <v xml:space="preserve"> Алёшкин Дмитрий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45</v>
      </c>
      <c r="B6" s="13" t="str">
        <f>IF(A6="","",VLOOKUP(A6,Список!E:O,2,FALSE))</f>
        <v xml:space="preserve"> Ткаченко Владимир Михайлович</v>
      </c>
      <c r="C6" s="14">
        <f>IF($B$11="","",$D$11*10+5)</f>
        <v>55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46</v>
      </c>
      <c r="B7" s="13" t="str">
        <f>IF(A7="","",VLOOKUP(A7,Список!E:O,2,FALSE))</f>
        <v xml:space="preserve"> Животов Дмитрий Викторович</v>
      </c>
      <c r="C7" s="14">
        <f>IF($B$11="","",$D$11*10+6)</f>
        <v>56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47</v>
      </c>
      <c r="B8" s="13" t="str">
        <f>IF(A8="","",VLOOKUP(A8,Список!E:O,2,FALSE))</f>
        <v xml:space="preserve"> Скоробогатов Евгений Петрович</v>
      </c>
      <c r="C8" s="14">
        <f>IF($B$11="","",$D$11*10+7)</f>
        <v>57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«Рассвет»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«Дрим Тим»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48</v>
      </c>
      <c r="B9" s="13" t="str">
        <f>IF(A9="","",VLOOKUP(A9,Список!E:O,2,FALSE))</f>
        <v xml:space="preserve"> Скоробогатов Александр Евгеньевич</v>
      </c>
      <c r="C9" s="14">
        <f>IF($B$11="","",$D$11*10+8)</f>
        <v>58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4</v>
      </c>
      <c r="C11" s="27" t="s">
        <v>18</v>
      </c>
      <c r="D11" s="29">
        <v>5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«Дрим Тим»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«Рассвет»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40</v>
      </c>
      <c r="D12" s="25">
        <f>IF(B11="","",D11*10)</f>
        <v>50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5</v>
      </c>
      <c r="B13" s="566"/>
      <c r="C13" s="565">
        <f>IF($E$1="","",VLOOKUP($E$1,'Общее расписание'!$B:$V,3,FALSE))</f>
        <v>4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Скоробогатов Е.П.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Пикульский Н., Третьяков О.М.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8, встреча 37, 5 - 4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37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43</v>
      </c>
      <c r="C16" s="41" t="s">
        <v>35</v>
      </c>
      <c r="D16" s="40">
        <v>53</v>
      </c>
      <c r="E16" s="42" t="s">
        <v>154</v>
      </c>
      <c r="F16" s="42" t="s">
        <v>153</v>
      </c>
      <c r="G16" s="42" t="s">
        <v>169</v>
      </c>
      <c r="H16" s="42" t="s">
        <v>173</v>
      </c>
      <c r="I16" s="42" t="s">
        <v>153</v>
      </c>
      <c r="J16" s="43">
        <f>IF(E16="","",IF(E16="0",1000,IF(E16="-0",-1000,E16*1)))</f>
        <v>6</v>
      </c>
      <c r="K16" s="43">
        <f>IF(F16="","",IF(F16="0",1000,IF(F16="-0",-1000,F16*1)))</f>
        <v>7</v>
      </c>
      <c r="L16" s="43">
        <f>IF(G16="","",IF(G16="0",1000,IF(G16="-0",-1000,G16*1)))</f>
        <v>-8</v>
      </c>
      <c r="M16" s="43">
        <f>IF(H16="","",IF(H16="0",1000,IF(H16="-0",-1000,H16*1)))</f>
        <v>-4</v>
      </c>
      <c r="N16" s="43">
        <f>IF(I16="","",IF(I16="0",1000,IF(I16="-0",-1000,I16*1)))</f>
        <v>7</v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0</v>
      </c>
      <c r="S16" s="44">
        <f t="shared" si="0"/>
        <v>1</v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1</v>
      </c>
      <c r="W16" s="45">
        <f t="shared" si="1"/>
        <v>1</v>
      </c>
      <c r="X16" s="45">
        <f t="shared" si="1"/>
        <v>0</v>
      </c>
      <c r="Y16" s="46">
        <f>IF(E16="","",SUM(O16:S16))</f>
        <v>3</v>
      </c>
      <c r="Z16" s="46">
        <f>IF(E16="","",SUM(T16:X16))</f>
        <v>2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Длугоканский Андрей Александрович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Рехтин Андрей Павлович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6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7</v>
      </c>
      <c r="FF16" s="320"/>
      <c r="FG16" s="320"/>
      <c r="FH16" s="321"/>
      <c r="FI16" s="322">
        <f>IF(G16="","",IF(L16&gt;9,HY16,HW16))</f>
        <v>8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4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>
        <f>IF(I16="","",IF(N16&gt;9,IG16,IE16))</f>
        <v>11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7</v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2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6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7</v>
      </c>
      <c r="HW16" s="49">
        <f>IF(G16="","",IF(L16=1000,11,IF(L16=-1000,0,IF(L16&gt;0,11,IF(L16&lt;0,(-L16),"0")))))</f>
        <v>8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4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>
        <f>IF(I16="","",IF(N16=1000,11,IF(N16=-1000,0,IF(N16&gt;0,11,IF(N16&lt;0,(-N16),"0")))))</f>
        <v>11</v>
      </c>
      <c r="IF16" s="50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7</v>
      </c>
      <c r="II16" s="56">
        <f>IF(E16="","",EO16*1)</f>
        <v>11</v>
      </c>
      <c r="IJ16" s="56">
        <f>IF(F16="","",EY16*1)</f>
        <v>11</v>
      </c>
      <c r="IK16" s="56">
        <f>IF(G16="","",FI16*1)</f>
        <v>8</v>
      </c>
      <c r="IL16" s="56">
        <f>IF(H16="","",FS16*1)</f>
        <v>4</v>
      </c>
      <c r="IM16" s="56">
        <f>IF(I16="","",GC16*1)</f>
        <v>11</v>
      </c>
      <c r="IN16" s="57">
        <f>IF(E16="","",EU16*1)</f>
        <v>6</v>
      </c>
      <c r="IO16" s="57">
        <f>IF(F16="","",FE16*1)</f>
        <v>7</v>
      </c>
      <c r="IP16" s="57">
        <f>IF(G16="","",FO16*1)</f>
        <v>11</v>
      </c>
      <c r="IQ16" s="57">
        <f>IF(H16="","",FY16*1)</f>
        <v>11</v>
      </c>
      <c r="IR16" s="57">
        <f>IF(I16="","",GI16*1)</f>
        <v>7</v>
      </c>
      <c r="IS16" s="58">
        <f>IF(E16="","",SUM(II16:IM16))</f>
        <v>45</v>
      </c>
      <c r="IT16" s="58">
        <f>IF(E16="","",SUM(IN16:IR16))</f>
        <v>42</v>
      </c>
    </row>
    <row r="17" spans="1:254" ht="30" customHeight="1" x14ac:dyDescent="0.35">
      <c r="A17" s="39" t="s">
        <v>18</v>
      </c>
      <c r="B17" s="40">
        <v>45</v>
      </c>
      <c r="C17" s="41" t="s">
        <v>34</v>
      </c>
      <c r="D17" s="40">
        <v>52</v>
      </c>
      <c r="E17" s="42" t="s">
        <v>154</v>
      </c>
      <c r="F17" s="42" t="s">
        <v>172</v>
      </c>
      <c r="G17" s="42" t="s">
        <v>158</v>
      </c>
      <c r="H17" s="42" t="s">
        <v>167</v>
      </c>
      <c r="I17" s="42"/>
      <c r="J17" s="43">
        <f t="shared" ref="J17:N20" si="2">IF(E17="","",IF(E17="0",1000,IF(E17="-0",-1000,E17*1)))</f>
        <v>6</v>
      </c>
      <c r="K17" s="43">
        <f t="shared" si="2"/>
        <v>-5</v>
      </c>
      <c r="L17" s="43">
        <f t="shared" si="2"/>
        <v>1</v>
      </c>
      <c r="M17" s="43">
        <f t="shared" si="2"/>
        <v>2</v>
      </c>
      <c r="N17" s="43" t="str">
        <f t="shared" si="2"/>
        <v/>
      </c>
      <c r="O17" s="44">
        <f>IF(J17="","",IF(J17&gt;0,1,0))</f>
        <v>1</v>
      </c>
      <c r="P17" s="44">
        <f t="shared" si="0"/>
        <v>0</v>
      </c>
      <c r="Q17" s="44">
        <f t="shared" si="0"/>
        <v>1</v>
      </c>
      <c r="R17" s="44">
        <f t="shared" si="0"/>
        <v>1</v>
      </c>
      <c r="S17" s="44" t="str">
        <f t="shared" si="0"/>
        <v/>
      </c>
      <c r="T17" s="45">
        <f t="shared" si="1"/>
        <v>0</v>
      </c>
      <c r="U17" s="45">
        <f t="shared" si="1"/>
        <v>1</v>
      </c>
      <c r="V17" s="45">
        <f t="shared" si="1"/>
        <v>0</v>
      </c>
      <c r="W17" s="45">
        <f t="shared" si="1"/>
        <v>0</v>
      </c>
      <c r="X17" s="45" t="str">
        <f t="shared" si="1"/>
        <v/>
      </c>
      <c r="Y17" s="46">
        <f>IF(E17="","",SUM(O17:S17))</f>
        <v>3</v>
      </c>
      <c r="Z17" s="46">
        <f>IF(E17="","",SUM(T17:X17))</f>
        <v>1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Ткаченко Владимир Михайлович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Третьяков Олег Маратович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6</v>
      </c>
      <c r="EV17" s="255"/>
      <c r="EW17" s="255"/>
      <c r="EX17" s="256"/>
      <c r="EY17" s="257">
        <f>IF(F17="","",IF(K17&gt;9,HU17,HS17))</f>
        <v>5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</v>
      </c>
      <c r="FP17" s="255"/>
      <c r="FQ17" s="255"/>
      <c r="FR17" s="256"/>
      <c r="FS17" s="257">
        <f>IF(H17="","",IF(M17&gt;9,IC17,IA17))</f>
        <v>11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2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1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6</v>
      </c>
      <c r="HS17" s="53">
        <f>IF(F17="","",IF(K17=1000,11,IF(K17=-1000,0,IF(K17&gt;0,11,IF(K17&lt;0,(-K17),"0")))))</f>
        <v>5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</v>
      </c>
      <c r="IA17" s="53">
        <f>IF(H17="","",IF(M17=1000,11,IF(M17=-1000,0,IF(M17&gt;0,11,IF(M17&lt;0,(-M17),"0")))))</f>
        <v>11</v>
      </c>
      <c r="IB17" s="53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2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5</v>
      </c>
      <c r="IK17" s="56">
        <f>IF(G17="","",FI17*1)</f>
        <v>11</v>
      </c>
      <c r="IL17" s="56">
        <f>IF(H17="","",FS17*1)</f>
        <v>11</v>
      </c>
      <c r="IM17" s="56" t="str">
        <f>IF(I17="","",GC17*1)</f>
        <v/>
      </c>
      <c r="IN17" s="57">
        <f>IF(E17="","",EU17*1)</f>
        <v>6</v>
      </c>
      <c r="IO17" s="57">
        <f>IF(F17="","",FE17*1)</f>
        <v>11</v>
      </c>
      <c r="IP17" s="57">
        <f>IF(G17="","",FO17*1)</f>
        <v>1</v>
      </c>
      <c r="IQ17" s="57">
        <f>IF(H17="","",FY17*1)</f>
        <v>2</v>
      </c>
      <c r="IR17" s="57" t="str">
        <f>IF(I17="","",GI17*1)</f>
        <v/>
      </c>
      <c r="IS17" s="58">
        <f>IF(E17="","",SUM(II17:IM17))</f>
        <v>38</v>
      </c>
      <c r="IT17" s="58">
        <f>IF(E17="","",SUM(IN17:IR17))</f>
        <v>20</v>
      </c>
    </row>
    <row r="18" spans="1:254" ht="30" customHeight="1" x14ac:dyDescent="0.2">
      <c r="A18" s="39" t="s">
        <v>36</v>
      </c>
      <c r="B18" s="40">
        <v>44</v>
      </c>
      <c r="C18" s="41" t="s">
        <v>37</v>
      </c>
      <c r="D18" s="40">
        <v>51</v>
      </c>
      <c r="E18" s="42" t="s">
        <v>154</v>
      </c>
      <c r="F18" s="42" t="s">
        <v>161</v>
      </c>
      <c r="G18" s="42" t="s">
        <v>165</v>
      </c>
      <c r="H18" s="42" t="s">
        <v>166</v>
      </c>
      <c r="I18" s="42"/>
      <c r="J18" s="43">
        <f t="shared" si="2"/>
        <v>6</v>
      </c>
      <c r="K18" s="43">
        <f t="shared" si="2"/>
        <v>4</v>
      </c>
      <c r="L18" s="43">
        <f t="shared" si="2"/>
        <v>-11</v>
      </c>
      <c r="M18" s="43">
        <f t="shared" si="2"/>
        <v>8</v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0</v>
      </c>
      <c r="R18" s="44">
        <f t="shared" si="0"/>
        <v>1</v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1</v>
      </c>
      <c r="W18" s="45">
        <f t="shared" si="1"/>
        <v>0</v>
      </c>
      <c r="X18" s="45" t="str">
        <f t="shared" si="1"/>
        <v/>
      </c>
      <c r="Y18" s="46">
        <f>IF(E18="","",SUM(O18:S18))</f>
        <v>3</v>
      </c>
      <c r="Z18" s="46">
        <f>IF(E18="","",SUM(T18:X18))</f>
        <v>1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Полтев Данил Сергеевич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Пикульский Никита Петрович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6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4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13</v>
      </c>
      <c r="FP18" s="255"/>
      <c r="FQ18" s="255"/>
      <c r="FR18" s="256"/>
      <c r="FS18" s="257">
        <f>IF(H18="","",IF(M18&gt;9,IC18,IA18))</f>
        <v>11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8</v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1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6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4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13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>
        <f>IF(H18="","",IF(M18=1000,11,IF(M18=-1000,0,IF(M18&gt;0,11,IF(M18&lt;0,(-M18),"0")))))</f>
        <v>11</v>
      </c>
      <c r="IB18" s="53">
        <f>IF(H18="","",IF(G18="","",IF(M18=1000,0,IF(M18=-1000,11,IF(M18&lt;-9,-(M18-2),IF(M18&gt;0,(GX18),"0"))))))</f>
        <v>0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8</v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>
        <f>IF(H18="","",FS18*1)</f>
        <v>11</v>
      </c>
      <c r="IM18" s="56" t="str">
        <f>IF(I18="","",GC18*1)</f>
        <v/>
      </c>
      <c r="IN18" s="57">
        <f>IF(E18="","",EU18*1)</f>
        <v>6</v>
      </c>
      <c r="IO18" s="57">
        <f>IF(F18="","",FE18*1)</f>
        <v>4</v>
      </c>
      <c r="IP18" s="57">
        <f>IF(G18="","",FO18*1)</f>
        <v>13</v>
      </c>
      <c r="IQ18" s="57">
        <f>IF(H18="","",FY18*1)</f>
        <v>8</v>
      </c>
      <c r="IR18" s="57" t="str">
        <f>IF(I18="","",GI18*1)</f>
        <v/>
      </c>
      <c r="IS18" s="58">
        <f>IF(E18="","",SUM(II18:IM18))</f>
        <v>44</v>
      </c>
      <c r="IT18" s="58">
        <f>IF(E18="","",SUM(IN18:IR18))</f>
        <v>31</v>
      </c>
    </row>
    <row r="19" spans="1:254" ht="30" customHeight="1" x14ac:dyDescent="0.2">
      <c r="A19" s="39" t="s">
        <v>17</v>
      </c>
      <c r="B19" s="59">
        <f>IF(B16=0,"",B16)</f>
        <v>43</v>
      </c>
      <c r="C19" s="41" t="s">
        <v>34</v>
      </c>
      <c r="D19" s="59">
        <f>IF(D17=0,"",D17)</f>
        <v>52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Длугоканский Андрей Александрович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Третьяков Олег Маратович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45</v>
      </c>
      <c r="C20" s="41" t="s">
        <v>35</v>
      </c>
      <c r="D20" s="59">
        <f>IF(D16=0,"",D16)</f>
        <v>53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Ткаченко Владимир Михайлович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Рехтин Андрей Павлович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4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«Дрим Тим»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4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127</v>
      </c>
      <c r="IT21" s="65">
        <f>IF(E16="","",SUM(IT16:IT20))</f>
        <v>93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37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«Дрим Тим»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«Рассвет»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42</v>
      </c>
      <c r="F57" s="481"/>
      <c r="G57" s="9"/>
      <c r="H57" s="480">
        <f>C2</f>
        <v>51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43</v>
      </c>
      <c r="F58" s="481"/>
      <c r="G58" s="9"/>
      <c r="H58" s="480">
        <f>C4</f>
        <v>53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46</v>
      </c>
      <c r="F59" s="481"/>
      <c r="G59" s="9"/>
      <c r="H59" s="480">
        <f>C7</f>
        <v>56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47</v>
      </c>
      <c r="F60" s="481"/>
      <c r="G60" s="9"/>
      <c r="H60" s="480">
        <f>C8</f>
        <v>57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48</v>
      </c>
      <c r="F61" s="481"/>
      <c r="G61" s="9"/>
      <c r="H61" s="480">
        <f>C9</f>
        <v>58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49</v>
      </c>
      <c r="F62" s="481"/>
      <c r="G62" s="9"/>
      <c r="H62" s="480">
        <f>1+H61</f>
        <v>59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50</v>
      </c>
      <c r="F63" s="481"/>
      <c r="G63" s="9"/>
      <c r="H63" s="480">
        <f>1+H62</f>
        <v>60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51</v>
      </c>
      <c r="F64" s="481"/>
      <c r="G64" s="9"/>
      <c r="H64" s="480">
        <f>1+H63</f>
        <v>61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52</v>
      </c>
      <c r="F65" s="481"/>
      <c r="G65" s="9"/>
      <c r="H65" s="480">
        <f>1+H64</f>
        <v>62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53</v>
      </c>
      <c r="F66" s="481"/>
      <c r="G66" s="9"/>
      <c r="H66" s="480">
        <f>1+H65</f>
        <v>63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  <pageSetUpPr fitToPage="1"/>
  </sheetPr>
  <dimension ref="A1:IU102"/>
  <sheetViews>
    <sheetView zoomScale="50" zoomScaleNormal="50" zoomScaleSheetLayoutView="40" workbookViewId="0">
      <selection activeCell="AC12" sqref="AC12:BP12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"РУСИЧИ" г.Симферополь</v>
      </c>
      <c r="B1" s="576"/>
      <c r="C1" s="577" t="str">
        <f>IF(D11="","",VLOOKUP(D11,Список!B:O,12,FALSE))</f>
        <v>«СШ №3(2)» г.Симферополь</v>
      </c>
      <c r="D1" s="578"/>
      <c r="E1" s="579">
        <v>38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11</v>
      </c>
      <c r="B2" s="13" t="str">
        <f>IF(A2="","",VLOOKUP(A2,Список!E:O,2,FALSE))</f>
        <v xml:space="preserve"> Кривошеев Вячеслав Александрович</v>
      </c>
      <c r="C2" s="14">
        <f>IF($B$11="","",$D$11*10+1)</f>
        <v>101</v>
      </c>
      <c r="D2" s="15" t="str">
        <f>IF(C2="","",VLOOKUP(C2,Список!E:O,2,FALSE))</f>
        <v xml:space="preserve"> Талалай Игорь Сергеевич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12</v>
      </c>
      <c r="B3" s="13" t="str">
        <f>IF(A3="","",VLOOKUP(A3,Список!E:O,2,FALSE))</f>
        <v xml:space="preserve"> Панченко Артем Иванович</v>
      </c>
      <c r="C3" s="14">
        <f>IF($B$11="","",$D$11*10+2)</f>
        <v>102</v>
      </c>
      <c r="D3" s="15" t="str">
        <f>IF(C3="","",VLOOKUP(C3,Список!E:O,2,FALSE))</f>
        <v xml:space="preserve"> Назаренко Олег Михайлович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13</v>
      </c>
      <c r="B4" s="13" t="str">
        <f>IF(A4="","",VLOOKUP(A4,Список!E:O,2,FALSE))</f>
        <v xml:space="preserve"> Исаков Илья Павлович</v>
      </c>
      <c r="C4" s="14">
        <f>IF($B$11="","",$D$11*10+3)</f>
        <v>103</v>
      </c>
      <c r="D4" s="15" t="str">
        <f>IF(C4="","",VLOOKUP(C4,Список!E:O,2,FALSE))</f>
        <v xml:space="preserve"> Романовский Александр Витальевич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14</v>
      </c>
      <c r="B5" s="13" t="str">
        <f>IF(A5="","",VLOOKUP(A5,Список!E:O,2,FALSE))</f>
        <v xml:space="preserve"> Масовер Андрей Ромазанович</v>
      </c>
      <c r="C5" s="14">
        <f>IF($B$11="","",$D$11*10+4)</f>
        <v>104</v>
      </c>
      <c r="D5" s="15" t="str">
        <f>IF(C5="","",VLOOKUP(C5,Список!E:O,2,FALSE))</f>
        <v xml:space="preserve"> Алексеев Игорь Юрьевич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15</v>
      </c>
      <c r="B6" s="13" t="str">
        <f>IF(A6="","",VLOOKUP(A6,Список!E:O,2,FALSE))</f>
        <v xml:space="preserve"> Губанов Никита Сергеевич</v>
      </c>
      <c r="C6" s="14">
        <f>IF($B$11="","",$D$11*10+5)</f>
        <v>105</v>
      </c>
      <c r="D6" s="15" t="str">
        <f>IF(C6="","",VLOOKUP(C6,Список!E:O,2,FALSE))</f>
        <v xml:space="preserve"> Тимофеев Александр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16</v>
      </c>
      <c r="B7" s="13" t="str">
        <f>IF(A7="","",VLOOKUP(A7,Список!E:O,2,FALSE))</f>
        <v xml:space="preserve"> Зайцев Игорь Владимирович</v>
      </c>
      <c r="C7" s="14">
        <f>IF($B$11="","",$D$11*10+6)</f>
        <v>106</v>
      </c>
      <c r="D7" s="15" t="str">
        <f>IF(C7="","",VLOOKUP(C7,Список!E:O,2,FALSE))</f>
        <v xml:space="preserve"> Спорышев Александр Алексеевич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17</v>
      </c>
      <c r="B8" s="13" t="str">
        <f>IF(A8="","",VLOOKUP(A8,Список!E:O,2,FALSE))</f>
        <v xml:space="preserve"> Щепетнев Дмитрий Владимирович</v>
      </c>
      <c r="C8" s="14">
        <f>IF($B$11="","",$D$11*10+7)</f>
        <v>107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№3(2)»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"РУСИЧИ"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18</v>
      </c>
      <c r="B9" s="13" t="str">
        <f>IF(A9="","",VLOOKUP(A9,Список!E:O,2,FALSE))</f>
        <v xml:space="preserve"> Панков Леонид Александрович</v>
      </c>
      <c r="C9" s="14">
        <f>IF($B$11="","",$D$11*10+8)</f>
        <v>108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1</v>
      </c>
      <c r="C11" s="27" t="s">
        <v>18</v>
      </c>
      <c r="D11" s="29">
        <f>IF(B11="","",IF(B11=A13,C13,IF(B11=C13,A13,)))</f>
        <v>10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"РУСИЧИ"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№3(2)»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10</v>
      </c>
      <c r="D12" s="25">
        <f>IF(B11="","",D11*10)</f>
        <v>100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10</v>
      </c>
      <c r="B13" s="566"/>
      <c r="C13" s="565">
        <f>IF($E$1="","",VLOOKUP($E$1,'Общее расписание'!$B:$V,3,FALSE))</f>
        <v>1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Панков Л.А.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8, встреча 38, 10 - 1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38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17</v>
      </c>
      <c r="C16" s="41" t="s">
        <v>35</v>
      </c>
      <c r="D16" s="40">
        <v>103</v>
      </c>
      <c r="E16" s="42" t="s">
        <v>155</v>
      </c>
      <c r="F16" s="42" t="s">
        <v>166</v>
      </c>
      <c r="G16" s="42" t="s">
        <v>167</v>
      </c>
      <c r="H16" s="42"/>
      <c r="I16" s="42"/>
      <c r="J16" s="43">
        <f>IF(E16="","",IF(E16="0",1000,IF(E16="-0",-1000,E16*1)))</f>
        <v>5</v>
      </c>
      <c r="K16" s="43">
        <f>IF(F16="","",IF(F16="0",1000,IF(F16="-0",-1000,F16*1)))</f>
        <v>8</v>
      </c>
      <c r="L16" s="43">
        <f>IF(G16="","",IF(G16="0",1000,IF(G16="-0",-1000,G16*1)))</f>
        <v>2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Щепетнев Дмитрий Владимирович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Романовский Александр Витальевич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5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8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2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5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8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2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5</v>
      </c>
      <c r="IO16" s="57">
        <f>IF(F16="","",FE16*1)</f>
        <v>8</v>
      </c>
      <c r="IP16" s="57">
        <f>IF(G16="","",FO16*1)</f>
        <v>2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15</v>
      </c>
    </row>
    <row r="17" spans="1:254" ht="30" customHeight="1" x14ac:dyDescent="0.35">
      <c r="A17" s="39" t="s">
        <v>18</v>
      </c>
      <c r="B17" s="40">
        <v>14</v>
      </c>
      <c r="C17" s="41" t="s">
        <v>34</v>
      </c>
      <c r="D17" s="40">
        <v>105</v>
      </c>
      <c r="E17" s="42" t="s">
        <v>160</v>
      </c>
      <c r="F17" s="42" t="s">
        <v>154</v>
      </c>
      <c r="G17" s="42" t="s">
        <v>153</v>
      </c>
      <c r="H17" s="42"/>
      <c r="I17" s="42"/>
      <c r="J17" s="43">
        <f t="shared" ref="J17:N20" si="2">IF(E17="","",IF(E17="0",1000,IF(E17="-0",-1000,E17*1)))</f>
        <v>3</v>
      </c>
      <c r="K17" s="43">
        <f t="shared" si="2"/>
        <v>6</v>
      </c>
      <c r="L17" s="43">
        <f t="shared" si="2"/>
        <v>7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Масовер Андрей Ромазанович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Тимофеев Александр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3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6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7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3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6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7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3</v>
      </c>
      <c r="IO17" s="57">
        <f>IF(F17="","",FE17*1)</f>
        <v>6</v>
      </c>
      <c r="IP17" s="57">
        <f>IF(G17="","",FO17*1)</f>
        <v>7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16</v>
      </c>
    </row>
    <row r="18" spans="1:254" ht="30" customHeight="1" x14ac:dyDescent="0.2">
      <c r="A18" s="39" t="s">
        <v>36</v>
      </c>
      <c r="B18" s="40">
        <v>16</v>
      </c>
      <c r="C18" s="41" t="s">
        <v>37</v>
      </c>
      <c r="D18" s="40">
        <v>102</v>
      </c>
      <c r="E18" s="42" t="s">
        <v>157</v>
      </c>
      <c r="F18" s="42" t="s">
        <v>155</v>
      </c>
      <c r="G18" s="42" t="s">
        <v>166</v>
      </c>
      <c r="H18" s="42"/>
      <c r="I18" s="42"/>
      <c r="J18" s="43">
        <f t="shared" si="2"/>
        <v>9</v>
      </c>
      <c r="K18" s="43">
        <f t="shared" si="2"/>
        <v>5</v>
      </c>
      <c r="L18" s="43">
        <f t="shared" si="2"/>
        <v>8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Зайцев Игорь Владимирович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Назаренко Олег Михайлович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9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5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8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 t="str">
        <f>IF(E18="","",IF(J18=1000,11,IF(J18=-1000,0,IF(J18&lt;9,11,IF(J18&gt;9,(J18+2),"0")))))</f>
        <v>0</v>
      </c>
      <c r="HR18" s="52">
        <f>IF(E18="","",IF(J18=1000,0,IF(J18=-1000,11,IF(J18&lt;0,11,IF(J18&gt;0,(J18),"0")))))</f>
        <v>9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5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8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9</v>
      </c>
      <c r="IO18" s="57">
        <f>IF(F18="","",FE18*1)</f>
        <v>5</v>
      </c>
      <c r="IP18" s="57">
        <f>IF(G18="","",FO18*1)</f>
        <v>8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22</v>
      </c>
    </row>
    <row r="19" spans="1:254" ht="30" customHeight="1" x14ac:dyDescent="0.2">
      <c r="A19" s="39" t="s">
        <v>17</v>
      </c>
      <c r="B19" s="59">
        <f>IF(B16=0,"",B16)</f>
        <v>17</v>
      </c>
      <c r="C19" s="41" t="s">
        <v>34</v>
      </c>
      <c r="D19" s="59">
        <f>IF(D17=0,"",D17)</f>
        <v>105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Щепетнев Дмитрий Владимирович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Тимофеев Александр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14</v>
      </c>
      <c r="C20" s="41" t="s">
        <v>35</v>
      </c>
      <c r="D20" s="59">
        <f>IF(D16=0,"",D16)</f>
        <v>103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Масовер Андрей Ромазанович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Романовский Александр Витальевич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0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99</v>
      </c>
      <c r="IT21" s="65">
        <f>IF(E16="","",SUM(IT16:IT20))</f>
        <v>53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38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"РУСИЧИ"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№3(2)»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12</v>
      </c>
      <c r="F57" s="481"/>
      <c r="G57" s="9"/>
      <c r="H57" s="480">
        <f>C2</f>
        <v>101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13</v>
      </c>
      <c r="F58" s="481"/>
      <c r="G58" s="9"/>
      <c r="H58" s="480">
        <f>C4</f>
        <v>103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16</v>
      </c>
      <c r="F59" s="481"/>
      <c r="G59" s="9"/>
      <c r="H59" s="480">
        <f>C7</f>
        <v>106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17</v>
      </c>
      <c r="F60" s="481"/>
      <c r="G60" s="9"/>
      <c r="H60" s="480">
        <f>C8</f>
        <v>107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18</v>
      </c>
      <c r="F61" s="481"/>
      <c r="G61" s="9"/>
      <c r="H61" s="480">
        <f>C9</f>
        <v>108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19</v>
      </c>
      <c r="F62" s="481"/>
      <c r="G62" s="9"/>
      <c r="H62" s="480">
        <f>1+H61</f>
        <v>109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20</v>
      </c>
      <c r="F63" s="481"/>
      <c r="G63" s="9"/>
      <c r="H63" s="480">
        <f>1+H62</f>
        <v>110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21</v>
      </c>
      <c r="F64" s="481"/>
      <c r="G64" s="9"/>
      <c r="H64" s="480">
        <f>1+H63</f>
        <v>111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22</v>
      </c>
      <c r="F65" s="481"/>
      <c r="G65" s="9"/>
      <c r="H65" s="480">
        <f>1+H64</f>
        <v>112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23</v>
      </c>
      <c r="F66" s="481"/>
      <c r="G66" s="9"/>
      <c r="H66" s="480">
        <f>1+H65</f>
        <v>113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  <pageSetUpPr fitToPage="1"/>
  </sheetPr>
  <dimension ref="A1:IU102"/>
  <sheetViews>
    <sheetView zoomScale="50" zoomScaleNormal="50" zoomScaleSheetLayoutView="40" workbookViewId="0">
      <selection activeCell="I17" sqref="I17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«АРСЕНАЛ-С» г.Севастополь</v>
      </c>
      <c r="B1" s="576"/>
      <c r="C1" s="577" t="str">
        <f>IF(D11="","",VLOOKUP(D11,Список!B:O,12,FALSE))</f>
        <v>«Спортшкола» г. Ялта</v>
      </c>
      <c r="D1" s="578"/>
      <c r="E1" s="579">
        <v>39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61</v>
      </c>
      <c r="B2" s="13" t="str">
        <f>IF(A2="","",VLOOKUP(A2,Список!E:O,2,FALSE))</f>
        <v xml:space="preserve"> Перфильев Алексей Алексеевич</v>
      </c>
      <c r="C2" s="14">
        <f>IF($B$11="","",$D$11*10+1)</f>
        <v>71</v>
      </c>
      <c r="D2" s="15" t="str">
        <f>IF(C2="","",VLOOKUP(C2,Список!E:O,2,FALSE))</f>
        <v xml:space="preserve"> Маслий Дмитрий Владимирович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62</v>
      </c>
      <c r="B3" s="13" t="str">
        <f>IF(A3="","",VLOOKUP(A3,Список!E:O,2,FALSE))</f>
        <v xml:space="preserve"> Чернокнижников Александр Максимович</v>
      </c>
      <c r="C3" s="14">
        <f>IF($B$11="","",$D$11*10+2)</f>
        <v>72</v>
      </c>
      <c r="D3" s="15" t="str">
        <f>IF(C3="","",VLOOKUP(C3,Список!E:O,2,FALSE))</f>
        <v xml:space="preserve"> Худенко Александр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63</v>
      </c>
      <c r="B4" s="13" t="str">
        <f>IF(A4="","",VLOOKUP(A4,Список!E:O,2,FALSE))</f>
        <v xml:space="preserve"> Шило Алексей Вячеславович</v>
      </c>
      <c r="C4" s="14">
        <f>IF($B$11="","",$D$11*10+3)</f>
        <v>73</v>
      </c>
      <c r="D4" s="15" t="str">
        <f>IF(C4="","",VLOOKUP(C4,Список!E:O,2,FALSE))</f>
        <v xml:space="preserve"> Размысловский Павел Алексеевич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64</v>
      </c>
      <c r="B5" s="13" t="str">
        <f>IF(A5="","",VLOOKUP(A5,Список!E:O,2,FALSE))</f>
        <v xml:space="preserve"> Овчаренко Игорь Викторович</v>
      </c>
      <c r="C5" s="14">
        <f>IF($B$11="","",$D$11*10+4)</f>
        <v>74</v>
      </c>
      <c r="D5" s="15" t="str">
        <f>IF(C5="","",VLOOKUP(C5,Список!E:O,2,FALSE))</f>
        <v xml:space="preserve"> Иванов Константин Николаевич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65</v>
      </c>
      <c r="B6" s="13" t="str">
        <f>IF(A6="","",VLOOKUP(A6,Список!E:O,2,FALSE))</f>
        <v xml:space="preserve"> Королев Роман Сергеевич</v>
      </c>
      <c r="C6" s="14">
        <f>IF($B$11="","",$D$11*10+5)</f>
        <v>75</v>
      </c>
      <c r="D6" s="15" t="str">
        <f>IF(C6="","",VLOOKUP(C6,Список!E:O,2,FALSE))</f>
        <v xml:space="preserve"> Поляков Дмитрий Игоревич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66</v>
      </c>
      <c r="B7" s="13" t="str">
        <f>IF(A7="","",VLOOKUP(A7,Список!E:O,2,FALSE))</f>
        <v xml:space="preserve"> Горелкин Анатолий Николаевич</v>
      </c>
      <c r="C7" s="14">
        <f>IF($B$11="","",$D$11*10+6)</f>
        <v>76</v>
      </c>
      <c r="D7" s="15" t="str">
        <f>IF(C7="","",VLOOKUP(C7,Список!E:O,2,FALSE))</f>
        <v xml:space="preserve"> Гузенко Глеб Русланович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67</v>
      </c>
      <c r="B8" s="13" t="str">
        <f>IF(A8="","",VLOOKUP(A8,Список!E:O,2,FALSE))</f>
        <v xml:space="preserve"> Осипов Владимир Владимирович</v>
      </c>
      <c r="C8" s="14">
        <f>IF($B$11="","",$D$11*10+7)</f>
        <v>77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«Спортшкола» г. 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«АРСЕНАЛ-С» г.Севастополь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68</v>
      </c>
      <c r="B9" s="13" t="str">
        <f>IF(A9="","",VLOOKUP(A9,Список!E:O,2,FALSE))</f>
        <v xml:space="preserve"> Митин Павел Вадимович</v>
      </c>
      <c r="C9" s="14">
        <f>IF($B$11="","",$D$11*10+8)</f>
        <v>78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6</v>
      </c>
      <c r="C11" s="27" t="s">
        <v>18</v>
      </c>
      <c r="D11" s="29">
        <f>IF(B11="","",IF(B11=A13,C13,IF(B11=C13,A13,)))</f>
        <v>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«АРСЕНАЛ-С» г.Севастополь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«Спортшкола» г. 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60</v>
      </c>
      <c r="D12" s="25">
        <f>IF(B11="","",D11*10)</f>
        <v>70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7</v>
      </c>
      <c r="B13" s="566"/>
      <c r="C13" s="565">
        <f>IF($E$1="","",VLOOKUP($E$1,'Общее расписание'!$B:$V,3,FALSE))</f>
        <v>6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Свистунов А.Н.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8, встреча 39, 7 - 6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39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66</v>
      </c>
      <c r="C16" s="41" t="s">
        <v>35</v>
      </c>
      <c r="D16" s="40">
        <v>74</v>
      </c>
      <c r="E16" s="42" t="s">
        <v>156</v>
      </c>
      <c r="F16" s="42" t="s">
        <v>161</v>
      </c>
      <c r="G16" s="42" t="s">
        <v>152</v>
      </c>
      <c r="H16" s="42" t="s">
        <v>157</v>
      </c>
      <c r="I16" s="42" t="s">
        <v>162</v>
      </c>
      <c r="J16" s="43">
        <f>IF(E16="","",IF(E16="0",1000,IF(E16="-0",-1000,E16*1)))</f>
        <v>-9</v>
      </c>
      <c r="K16" s="43">
        <f>IF(F16="","",IF(F16="0",1000,IF(F16="-0",-1000,F16*1)))</f>
        <v>4</v>
      </c>
      <c r="L16" s="43">
        <f>IF(G16="","",IF(G16="0",1000,IF(G16="-0",-1000,G16*1)))</f>
        <v>-7</v>
      </c>
      <c r="M16" s="43">
        <f>IF(H16="","",IF(H16="0",1000,IF(H16="-0",-1000,H16*1)))</f>
        <v>9</v>
      </c>
      <c r="N16" s="43">
        <f>IF(I16="","",IF(I16="0",1000,IF(I16="-0",-1000,I16*1)))</f>
        <v>-1</v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1</v>
      </c>
      <c r="S16" s="44">
        <f t="shared" si="0"/>
        <v>0</v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1</v>
      </c>
      <c r="W16" s="45">
        <f t="shared" si="1"/>
        <v>0</v>
      </c>
      <c r="X16" s="45">
        <f t="shared" si="1"/>
        <v>1</v>
      </c>
      <c r="Y16" s="46">
        <f>IF(E16="","",SUM(O16:S16))</f>
        <v>2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Горелкин Анатолий Николаевич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Иванов Константин Николаевич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9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4</v>
      </c>
      <c r="FF16" s="320"/>
      <c r="FG16" s="320"/>
      <c r="FH16" s="321"/>
      <c r="FI16" s="322">
        <f>IF(G16="","",IF(L16&gt;9,HY16,HW16))</f>
        <v>7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9</v>
      </c>
      <c r="FZ16" s="320"/>
      <c r="GA16" s="320"/>
      <c r="GB16" s="321"/>
      <c r="GC16" s="257">
        <f>IF(I16="","",IF(N16&gt;9,IG16,IE16))</f>
        <v>1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11</v>
      </c>
      <c r="GJ16" s="255"/>
      <c r="GK16" s="255"/>
      <c r="GL16" s="302"/>
      <c r="GM16" s="309">
        <f>Y16</f>
        <v>2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9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4</v>
      </c>
      <c r="HW16" s="49">
        <f>IF(G16="","",IF(L16=1000,11,IF(L16=-1000,0,IF(L16&gt;0,11,IF(L16&lt;0,(-L16),"0")))))</f>
        <v>7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 t="str">
        <f>IF(H16="","",IF(M16=1000,11,IF(M16=-1000,0,IF(M16&lt;9,11,IF(M16&gt;9,(M16+2),"0")))))</f>
        <v>0</v>
      </c>
      <c r="ID16" s="54">
        <f>IF(H16="","",IF(M16=1000,0,IF(M16=-1000,11,IF(M16&lt;0,11,IF(M16&gt;0,(M16),"0")))))</f>
        <v>9</v>
      </c>
      <c r="IE16" s="49">
        <f>IF(I16="","",IF(N16=1000,11,IF(N16=-1000,0,IF(N16&gt;0,11,IF(N16&lt;0,(-N16),"0")))))</f>
        <v>1</v>
      </c>
      <c r="IF16" s="50" t="str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11</v>
      </c>
      <c r="II16" s="56">
        <f>IF(E16="","",EO16*1)</f>
        <v>9</v>
      </c>
      <c r="IJ16" s="56">
        <f>IF(F16="","",EY16*1)</f>
        <v>11</v>
      </c>
      <c r="IK16" s="56">
        <f>IF(G16="","",FI16*1)</f>
        <v>7</v>
      </c>
      <c r="IL16" s="56">
        <f>IF(H16="","",FS16*1)</f>
        <v>11</v>
      </c>
      <c r="IM16" s="56">
        <f>IF(I16="","",GC16*1)</f>
        <v>1</v>
      </c>
      <c r="IN16" s="57">
        <f>IF(E16="","",EU16*1)</f>
        <v>11</v>
      </c>
      <c r="IO16" s="57">
        <f>IF(F16="","",FE16*1)</f>
        <v>4</v>
      </c>
      <c r="IP16" s="57">
        <f>IF(G16="","",FO16*1)</f>
        <v>11</v>
      </c>
      <c r="IQ16" s="57">
        <f>IF(H16="","",FY16*1)</f>
        <v>9</v>
      </c>
      <c r="IR16" s="57">
        <f>IF(I16="","",GI16*1)</f>
        <v>11</v>
      </c>
      <c r="IS16" s="58">
        <f>IF(E16="","",SUM(II16:IM16))</f>
        <v>39</v>
      </c>
      <c r="IT16" s="58">
        <f>IF(E16="","",SUM(IN16:IR16))</f>
        <v>46</v>
      </c>
    </row>
    <row r="17" spans="1:254" ht="30" customHeight="1" x14ac:dyDescent="0.35">
      <c r="A17" s="39" t="s">
        <v>18</v>
      </c>
      <c r="B17" s="40">
        <v>67</v>
      </c>
      <c r="C17" s="41" t="s">
        <v>34</v>
      </c>
      <c r="D17" s="40">
        <v>72</v>
      </c>
      <c r="E17" s="42" t="s">
        <v>173</v>
      </c>
      <c r="F17" s="42" t="s">
        <v>169</v>
      </c>
      <c r="G17" s="42" t="s">
        <v>157</v>
      </c>
      <c r="H17" s="42" t="s">
        <v>169</v>
      </c>
      <c r="I17" s="42"/>
      <c r="J17" s="43">
        <f t="shared" ref="J17:N20" si="2">IF(E17="","",IF(E17="0",1000,IF(E17="-0",-1000,E17*1)))</f>
        <v>-4</v>
      </c>
      <c r="K17" s="43">
        <f t="shared" si="2"/>
        <v>-8</v>
      </c>
      <c r="L17" s="43">
        <f t="shared" si="2"/>
        <v>9</v>
      </c>
      <c r="M17" s="43">
        <f t="shared" si="2"/>
        <v>-8</v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1</v>
      </c>
      <c r="R17" s="44">
        <f t="shared" si="0"/>
        <v>0</v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0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Осипов Владимир Владимирович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Худенко Александр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4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8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9</v>
      </c>
      <c r="FP17" s="255"/>
      <c r="FQ17" s="255"/>
      <c r="FR17" s="256"/>
      <c r="FS17" s="257">
        <f>IF(H17="","",IF(M17&gt;9,IC17,IA17))</f>
        <v>8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4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8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 t="str">
        <f>IF(G17="","",IF(L17=1000,11,IF(L17=-1000,0,IF(L17&lt;9,11,IF(L17&gt;9,(L17+2),"0")))))</f>
        <v>0</v>
      </c>
      <c r="HZ17" s="52">
        <f>IF(G17="","",IF(L17=1000,0,IF(L17=-1000,11,IF(L17&lt;0,11,IF(L17&gt;0,(L17),"0")))))</f>
        <v>9</v>
      </c>
      <c r="IA17" s="53">
        <f>IF(H17="","",IF(M17=1000,11,IF(M17=-1000,0,IF(M17&gt;0,11,IF(M17&lt;0,(-M17),"0")))))</f>
        <v>8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4</v>
      </c>
      <c r="IJ17" s="56">
        <f>IF(F17="","",EY17*1)</f>
        <v>8</v>
      </c>
      <c r="IK17" s="56">
        <f>IF(G17="","",FI17*1)</f>
        <v>11</v>
      </c>
      <c r="IL17" s="56">
        <f>IF(H17="","",FS17*1)</f>
        <v>8</v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9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31</v>
      </c>
      <c r="IT17" s="58">
        <f>IF(E17="","",SUM(IN17:IR17))</f>
        <v>42</v>
      </c>
    </row>
    <row r="18" spans="1:254" ht="30" customHeight="1" x14ac:dyDescent="0.2">
      <c r="A18" s="39" t="s">
        <v>36</v>
      </c>
      <c r="B18" s="40"/>
      <c r="C18" s="41" t="s">
        <v>37</v>
      </c>
      <c r="D18" s="40"/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66</v>
      </c>
      <c r="C19" s="41" t="s">
        <v>34</v>
      </c>
      <c r="D19" s="59">
        <f>IF(D17=0,"",D17)</f>
        <v>72</v>
      </c>
      <c r="E19" s="42" t="s">
        <v>175</v>
      </c>
      <c r="F19" s="42" t="s">
        <v>172</v>
      </c>
      <c r="G19" s="42" t="s">
        <v>166</v>
      </c>
      <c r="H19" s="42" t="s">
        <v>172</v>
      </c>
      <c r="I19" s="42"/>
      <c r="J19" s="43">
        <f t="shared" si="2"/>
        <v>-10</v>
      </c>
      <c r="K19" s="43">
        <f t="shared" si="2"/>
        <v>-5</v>
      </c>
      <c r="L19" s="43">
        <f t="shared" si="2"/>
        <v>8</v>
      </c>
      <c r="M19" s="43">
        <f t="shared" si="2"/>
        <v>-5</v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1</v>
      </c>
      <c r="R19" s="44">
        <f t="shared" si="0"/>
        <v>0</v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0</v>
      </c>
      <c r="W19" s="45">
        <f t="shared" si="1"/>
        <v>1</v>
      </c>
      <c r="X19" s="45" t="str">
        <f t="shared" si="1"/>
        <v/>
      </c>
      <c r="Y19" s="46">
        <f>IF(E19="","",SUM(O19:S19))</f>
        <v>1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Горелкин Анатолий Николаевич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Худенко Александр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10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12</v>
      </c>
      <c r="EV19" s="255"/>
      <c r="EW19" s="255"/>
      <c r="EX19" s="256"/>
      <c r="EY19" s="257">
        <f>IF(F19="","",IF(K19&gt;9,HU19,HS19))</f>
        <v>5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8</v>
      </c>
      <c r="FP19" s="255"/>
      <c r="FQ19" s="255"/>
      <c r="FR19" s="256"/>
      <c r="FS19" s="257">
        <f>IF(H19="","",IF(M19&gt;9,IC19,IA19))</f>
        <v>5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11</v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1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10</v>
      </c>
      <c r="HP19" s="50">
        <f>IF(E19="","",IF(J19=1000,0,IF(J19=-1000,11,IF(J19&lt;-9,-(J19-2),IF(J19&gt;0,(GU19),"0")))))</f>
        <v>12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5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8</v>
      </c>
      <c r="IA19" s="53">
        <f>IF(H19="","",IF(M19=1000,11,IF(M19=-1000,0,IF(M19&gt;0,11,IF(M19&lt;0,(-M19),"0")))))</f>
        <v>5</v>
      </c>
      <c r="IB19" s="53" t="str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11</v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10</v>
      </c>
      <c r="IJ19" s="56">
        <f>IF(F19="","",EY19*1)</f>
        <v>5</v>
      </c>
      <c r="IK19" s="56">
        <f>IF(G19="","",FI19*1)</f>
        <v>11</v>
      </c>
      <c r="IL19" s="56">
        <f>IF(H19="","",FS19*1)</f>
        <v>5</v>
      </c>
      <c r="IM19" s="56" t="str">
        <f>IF(I19="","",GC19*1)</f>
        <v/>
      </c>
      <c r="IN19" s="57">
        <f>IF(E19="","",EU19*1)</f>
        <v>12</v>
      </c>
      <c r="IO19" s="57">
        <f>IF(F19="","",FE19*1)</f>
        <v>11</v>
      </c>
      <c r="IP19" s="57">
        <f>IF(G19="","",FO19*1)</f>
        <v>8</v>
      </c>
      <c r="IQ19" s="57">
        <f>IF(H19="","",FY19*1)</f>
        <v>11</v>
      </c>
      <c r="IR19" s="57" t="str">
        <f>IF(I19="","",GI19*1)</f>
        <v/>
      </c>
      <c r="IS19" s="58">
        <f>IF(E19="","",SUM(II19:IM19))</f>
        <v>31</v>
      </c>
      <c r="IT19" s="58">
        <f>IF(E19="","",SUM(IN19:IR19))</f>
        <v>42</v>
      </c>
    </row>
    <row r="20" spans="1:254" ht="30" customHeight="1" thickBot="1" x14ac:dyDescent="0.4">
      <c r="A20" s="39" t="s">
        <v>18</v>
      </c>
      <c r="B20" s="59">
        <f>IF(B17=0,"",B17)</f>
        <v>67</v>
      </c>
      <c r="C20" s="41" t="s">
        <v>35</v>
      </c>
      <c r="D20" s="59">
        <f>IF(D16=0,"",D16)</f>
        <v>74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Осипов Владимир Владимирович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Иванов Константин Николаевич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7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«Спортшкола» г. Ялта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4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101</v>
      </c>
      <c r="IT21" s="65">
        <f>IF(E16="","",SUM(IT16:IT20))</f>
        <v>130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39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«АРСЕНАЛ-С» г.Севастополь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«Спортшкола» г. 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62</v>
      </c>
      <c r="F57" s="481"/>
      <c r="G57" s="9"/>
      <c r="H57" s="480">
        <f>C2</f>
        <v>71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63</v>
      </c>
      <c r="F58" s="481"/>
      <c r="G58" s="9"/>
      <c r="H58" s="480">
        <f>C4</f>
        <v>73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66</v>
      </c>
      <c r="F59" s="481"/>
      <c r="G59" s="9"/>
      <c r="H59" s="480">
        <f>C7</f>
        <v>76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67</v>
      </c>
      <c r="F60" s="481"/>
      <c r="G60" s="9"/>
      <c r="H60" s="480">
        <f>C8</f>
        <v>77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68</v>
      </c>
      <c r="F61" s="481"/>
      <c r="G61" s="9"/>
      <c r="H61" s="480">
        <f>C9</f>
        <v>78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69</v>
      </c>
      <c r="F62" s="481"/>
      <c r="G62" s="9"/>
      <c r="H62" s="480">
        <f>1+H61</f>
        <v>79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70</v>
      </c>
      <c r="F63" s="481"/>
      <c r="G63" s="9"/>
      <c r="H63" s="480">
        <f>1+H62</f>
        <v>80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71</v>
      </c>
      <c r="F64" s="481"/>
      <c r="G64" s="9"/>
      <c r="H64" s="480">
        <f>1+H63</f>
        <v>81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72</v>
      </c>
      <c r="F65" s="481"/>
      <c r="G65" s="9"/>
      <c r="H65" s="480">
        <f>1+H64</f>
        <v>82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73</v>
      </c>
      <c r="F66" s="481"/>
      <c r="G66" s="9"/>
      <c r="H66" s="480">
        <f>1+H65</f>
        <v>83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  <pageSetUpPr fitToPage="1"/>
  </sheetPr>
  <dimension ref="B1:AM99"/>
  <sheetViews>
    <sheetView topLeftCell="B50" zoomScale="80" zoomScaleNormal="80" workbookViewId="0">
      <selection activeCell="F58" sqref="F58"/>
    </sheetView>
  </sheetViews>
  <sheetFormatPr defaultColWidth="9.140625" defaultRowHeight="15" outlineLevelRow="1" outlineLevelCol="1" x14ac:dyDescent="0.25"/>
  <cols>
    <col min="1" max="1" width="7.28515625" style="2" customWidth="1"/>
    <col min="2" max="2" width="3.85546875" style="3" customWidth="1"/>
    <col min="3" max="3" width="18.5703125" style="4" customWidth="1"/>
    <col min="4" max="4" width="5.85546875" style="3" customWidth="1"/>
    <col min="5" max="5" width="5.85546875" style="3" hidden="1" customWidth="1" outlineLevel="1"/>
    <col min="6" max="6" width="37" style="147" customWidth="1" collapsed="1"/>
    <col min="7" max="7" width="10" style="5" customWidth="1"/>
    <col min="8" max="8" width="18.140625" style="147" customWidth="1"/>
    <col min="9" max="9" width="9.140625" style="6" customWidth="1"/>
    <col min="10" max="10" width="9.85546875" style="6" customWidth="1"/>
    <col min="11" max="12" width="9.140625" style="2" customWidth="1" outlineLevel="1"/>
    <col min="13" max="13" width="39.85546875" style="2" customWidth="1"/>
    <col min="14" max="14" width="46.5703125" style="2" customWidth="1"/>
    <col min="15" max="16384" width="9.140625" style="2"/>
  </cols>
  <sheetData>
    <row r="1" spans="2:22" s="1" customFormat="1" ht="39" customHeight="1" x14ac:dyDescent="0.3">
      <c r="B1" s="343" t="s">
        <v>6</v>
      </c>
      <c r="C1" s="344"/>
      <c r="D1" s="344"/>
      <c r="E1" s="344"/>
      <c r="F1" s="344"/>
      <c r="G1" s="344"/>
      <c r="H1" s="344"/>
      <c r="I1" s="344"/>
      <c r="J1" s="344"/>
      <c r="M1" s="157"/>
    </row>
    <row r="2" spans="2:22" ht="39.75" customHeight="1" x14ac:dyDescent="0.25">
      <c r="B2" s="345" t="s">
        <v>147</v>
      </c>
      <c r="C2" s="345"/>
      <c r="D2" s="345"/>
      <c r="E2" s="345"/>
      <c r="F2" s="345"/>
      <c r="G2" s="345"/>
      <c r="H2" s="345"/>
      <c r="I2" s="345"/>
      <c r="J2" s="345"/>
      <c r="K2" s="150"/>
    </row>
    <row r="3" spans="2:22" ht="20.25" customHeight="1" x14ac:dyDescent="0.25">
      <c r="B3" s="154" t="s">
        <v>120</v>
      </c>
      <c r="C3" s="150"/>
      <c r="D3" s="150"/>
      <c r="E3" s="150"/>
      <c r="F3" s="150"/>
      <c r="G3" s="150"/>
      <c r="H3" s="150"/>
      <c r="I3" s="150"/>
      <c r="J3" s="155" t="s">
        <v>148</v>
      </c>
    </row>
    <row r="4" spans="2:22" s="3" customFormat="1" ht="19.5" customHeight="1" x14ac:dyDescent="0.3">
      <c r="B4" s="344" t="s">
        <v>7</v>
      </c>
      <c r="C4" s="344"/>
      <c r="D4" s="344"/>
      <c r="E4" s="344"/>
      <c r="F4" s="344"/>
      <c r="G4" s="344"/>
      <c r="H4" s="344"/>
      <c r="I4" s="344"/>
      <c r="J4" s="344"/>
    </row>
    <row r="5" spans="2:22" ht="31.5" customHeight="1" x14ac:dyDescent="0.25">
      <c r="B5" s="7" t="s">
        <v>2</v>
      </c>
      <c r="C5" s="7" t="s">
        <v>3</v>
      </c>
      <c r="D5" s="7" t="s">
        <v>2</v>
      </c>
      <c r="E5" s="7"/>
      <c r="F5" s="145" t="s">
        <v>8</v>
      </c>
      <c r="G5" s="156" t="s">
        <v>114</v>
      </c>
      <c r="H5" s="145" t="s">
        <v>1</v>
      </c>
      <c r="I5" s="129" t="s">
        <v>0</v>
      </c>
      <c r="J5" s="129" t="s">
        <v>4</v>
      </c>
      <c r="M5" s="2" t="s">
        <v>96</v>
      </c>
      <c r="N5" s="148" t="s">
        <v>99</v>
      </c>
    </row>
    <row r="6" spans="2:22" ht="15.75" customHeight="1" x14ac:dyDescent="0.25">
      <c r="B6" s="334">
        <v>1</v>
      </c>
      <c r="C6" s="337" t="str">
        <f>VLOOKUP(B6,'[1]Высшая Лига'!$A:$J,2,FALSE)</f>
        <v>"РУСИЧИ" г.Симферополь</v>
      </c>
      <c r="D6" s="139">
        <v>1</v>
      </c>
      <c r="E6" s="140">
        <f>B6*10+1</f>
        <v>11</v>
      </c>
      <c r="F6" s="146" t="str">
        <f>VLOOKUP(E6,'[1]Высшая Лига'!$D:$M,3,FALSE)</f>
        <v xml:space="preserve"> Кривошеев Вячеслав Александрович</v>
      </c>
      <c r="G6" s="141" t="str">
        <f>VLOOKUP(E6,'[1]Высшая Лига'!$D:$M,4,FALSE)</f>
        <v>1987</v>
      </c>
      <c r="H6" s="146" t="str">
        <f>VLOOKUP(E6,'[1]Высшая Лига'!$D:$M,5,FALSE)</f>
        <v xml:space="preserve"> Уфа</v>
      </c>
      <c r="I6" s="142">
        <f>VLOOKUP(E6,'[1]Высшая Лига'!$D:$M,6,FALSE)</f>
        <v>1604.4</v>
      </c>
      <c r="J6" s="340">
        <f>SUMIF(L6:L13,"&lt;4",I6:I13)</f>
        <v>4504.76</v>
      </c>
      <c r="K6" s="341">
        <f>_xlfn.RANK.EQ(J6,$J$6:$J$95)</f>
        <v>1</v>
      </c>
      <c r="L6" s="2">
        <f>_xlfn.RANK.EQ(I6,I6:I13)</f>
        <v>1</v>
      </c>
      <c r="M6" s="2" t="s">
        <v>137</v>
      </c>
      <c r="N6" s="196" t="s">
        <v>138</v>
      </c>
      <c r="P6"/>
      <c r="Q6"/>
      <c r="R6"/>
      <c r="S6"/>
      <c r="T6"/>
    </row>
    <row r="7" spans="2:22" ht="15.75" customHeight="1" x14ac:dyDescent="0.25">
      <c r="B7" s="335"/>
      <c r="C7" s="338"/>
      <c r="D7" s="139">
        <v>2</v>
      </c>
      <c r="E7" s="140">
        <f>E6+1</f>
        <v>12</v>
      </c>
      <c r="F7" s="146" t="str">
        <f>VLOOKUP(E7,'[1]Высшая Лига'!$D:$M,3,FALSE)</f>
        <v xml:space="preserve"> Панченко Артем Иванович</v>
      </c>
      <c r="G7" s="141" t="str">
        <f>VLOOKUP(E7,'[1]Высшая Лига'!$D:$M,4,FALSE)</f>
        <v>1986</v>
      </c>
      <c r="H7" s="146" t="str">
        <f>VLOOKUP(E7,'[1]Высшая Лига'!$D:$M,5,FALSE)</f>
        <v xml:space="preserve"> Москва</v>
      </c>
      <c r="I7" s="142">
        <f>VLOOKUP(E7,'[1]Высшая Лига'!$D:$M,6,FALSE)</f>
        <v>1466.42</v>
      </c>
      <c r="J7" s="340"/>
      <c r="K7" s="341"/>
      <c r="L7" s="2">
        <f>_xlfn.RANK.EQ(I7,I6:I13)</f>
        <v>2</v>
      </c>
      <c r="P7"/>
      <c r="Q7"/>
      <c r="R7"/>
      <c r="S7"/>
      <c r="T7"/>
    </row>
    <row r="8" spans="2:22" ht="15.75" customHeight="1" x14ac:dyDescent="0.25">
      <c r="B8" s="335"/>
      <c r="C8" s="338"/>
      <c r="D8" s="136">
        <v>3</v>
      </c>
      <c r="E8" s="140">
        <f t="shared" ref="E8:E13" si="0">E7+1</f>
        <v>13</v>
      </c>
      <c r="F8" s="146" t="str">
        <f>VLOOKUP(E8,'[1]Высшая Лига'!$D:$M,3,FALSE)</f>
        <v xml:space="preserve"> Исаков Илья Павлович</v>
      </c>
      <c r="G8" s="141" t="str">
        <f>VLOOKUP(E8,'[1]Высшая Лига'!$D:$M,4,FALSE)</f>
        <v>1999</v>
      </c>
      <c r="H8" s="146" t="str">
        <f>VLOOKUP(E8,'[1]Высшая Лига'!$D:$M,5,FALSE)</f>
        <v xml:space="preserve"> Верхняя Пышма</v>
      </c>
      <c r="I8" s="142">
        <f>VLOOKUP(E8,'[1]Высшая Лига'!$D:$M,6,FALSE)</f>
        <v>1433.94</v>
      </c>
      <c r="J8" s="340"/>
      <c r="K8" s="341"/>
      <c r="L8" s="2">
        <f>_xlfn.RANK.EQ(I8,I6:I13)</f>
        <v>3</v>
      </c>
      <c r="P8"/>
      <c r="Q8"/>
      <c r="R8"/>
      <c r="S8"/>
      <c r="T8"/>
    </row>
    <row r="9" spans="2:22" ht="15.75" customHeight="1" x14ac:dyDescent="0.25">
      <c r="B9" s="335"/>
      <c r="C9" s="338"/>
      <c r="D9" s="136">
        <v>4</v>
      </c>
      <c r="E9" s="140">
        <f t="shared" si="0"/>
        <v>14</v>
      </c>
      <c r="F9" s="146" t="str">
        <f>VLOOKUP(E9,'[1]Высшая Лига'!$D:$M,3,FALSE)</f>
        <v xml:space="preserve"> Масовер Андрей Ромазанович</v>
      </c>
      <c r="G9" s="141" t="str">
        <f>VLOOKUP(E9,'[1]Высшая Лига'!$D:$M,4,FALSE)</f>
        <v>2003</v>
      </c>
      <c r="H9" s="146" t="str">
        <f>VLOOKUP(E9,'[1]Высшая Лига'!$D:$M,5,FALSE)</f>
        <v xml:space="preserve"> Бийск</v>
      </c>
      <c r="I9" s="142">
        <f>VLOOKUP(E9,'[1]Высшая Лига'!$D:$M,6,FALSE)</f>
        <v>955.85</v>
      </c>
      <c r="J9" s="340"/>
      <c r="K9" s="341"/>
      <c r="L9" s="2">
        <f>_xlfn.RANK.EQ(I9,I6:I13)</f>
        <v>4</v>
      </c>
      <c r="P9"/>
      <c r="Q9"/>
      <c r="R9"/>
      <c r="S9"/>
      <c r="T9"/>
    </row>
    <row r="10" spans="2:22" ht="15.75" customHeight="1" outlineLevel="1" x14ac:dyDescent="0.25">
      <c r="B10" s="335"/>
      <c r="C10" s="338"/>
      <c r="D10" s="136">
        <v>5</v>
      </c>
      <c r="E10" s="140">
        <f t="shared" si="0"/>
        <v>15</v>
      </c>
      <c r="F10" s="146" t="str">
        <f>VLOOKUP(E10,'[1]Высшая Лига'!$D:$M,3,FALSE)</f>
        <v xml:space="preserve"> Губанов Никита Сергеевич</v>
      </c>
      <c r="G10" s="141" t="str">
        <f>VLOOKUP(E10,'[1]Высшая Лига'!$D:$M,4,FALSE)</f>
        <v>2002</v>
      </c>
      <c r="H10" s="146" t="str">
        <f>VLOOKUP(E10,'[1]Высшая Лига'!$D:$M,5,FALSE)</f>
        <v xml:space="preserve"> Симферополь</v>
      </c>
      <c r="I10" s="142">
        <f>VLOOKUP(E10,'[1]Высшая Лига'!$D:$M,6,FALSE)</f>
        <v>811.26</v>
      </c>
      <c r="J10" s="340"/>
      <c r="K10" s="341"/>
      <c r="L10" s="2">
        <f>_xlfn.RANK.EQ(I10,I6:I13)</f>
        <v>5</v>
      </c>
      <c r="P10"/>
      <c r="Q10"/>
      <c r="R10"/>
      <c r="S10"/>
      <c r="T10"/>
      <c r="U10"/>
      <c r="V10"/>
    </row>
    <row r="11" spans="2:22" ht="15.75" customHeight="1" outlineLevel="1" x14ac:dyDescent="0.25">
      <c r="B11" s="335"/>
      <c r="C11" s="338"/>
      <c r="D11" s="136">
        <v>6</v>
      </c>
      <c r="E11" s="140">
        <f t="shared" si="0"/>
        <v>16</v>
      </c>
      <c r="F11" s="146" t="str">
        <f>VLOOKUP(E11,'[1]Высшая Лига'!$D:$M,3,FALSE)</f>
        <v xml:space="preserve"> Зайцев Игорь Владимирович</v>
      </c>
      <c r="G11" s="141" t="str">
        <f>VLOOKUP(E11,'[1]Высшая Лига'!$D:$M,4,FALSE)</f>
        <v>1996</v>
      </c>
      <c r="H11" s="146" t="str">
        <f>VLOOKUP(E11,'[1]Высшая Лига'!$D:$M,5,FALSE)</f>
        <v xml:space="preserve"> Ялта</v>
      </c>
      <c r="I11" s="142">
        <f>VLOOKUP(E11,'[1]Высшая Лига'!$D:$M,6,FALSE)</f>
        <v>698.3</v>
      </c>
      <c r="J11" s="340"/>
      <c r="K11" s="341"/>
      <c r="L11" s="2">
        <f>_xlfn.RANK.EQ(I11,I6:I13)</f>
        <v>6</v>
      </c>
      <c r="P11"/>
      <c r="Q11"/>
      <c r="R11"/>
      <c r="S11"/>
      <c r="T11"/>
      <c r="U11"/>
      <c r="V11"/>
    </row>
    <row r="12" spans="2:22" ht="15.75" customHeight="1" outlineLevel="1" x14ac:dyDescent="0.25">
      <c r="B12" s="335"/>
      <c r="C12" s="338"/>
      <c r="D12" s="136">
        <v>7</v>
      </c>
      <c r="E12" s="140">
        <f t="shared" si="0"/>
        <v>17</v>
      </c>
      <c r="F12" s="146" t="str">
        <f>VLOOKUP(E12,'[1]Высшая Лига'!$D:$M,3,FALSE)</f>
        <v xml:space="preserve"> Щепетнев Дмитрий Владимирович</v>
      </c>
      <c r="G12" s="141" t="str">
        <f>VLOOKUP(E12,'[1]Высшая Лига'!$D:$M,4,FALSE)</f>
        <v>2002</v>
      </c>
      <c r="H12" s="146" t="str">
        <f>VLOOKUP(E12,'[1]Высшая Лига'!$D:$M,5,FALSE)</f>
        <v xml:space="preserve"> Екатеринбург</v>
      </c>
      <c r="I12" s="142">
        <f>VLOOKUP(E12,'[1]Высшая Лига'!$D:$M,6,FALSE)</f>
        <v>666.18</v>
      </c>
      <c r="J12" s="340"/>
      <c r="K12" s="341"/>
      <c r="L12" s="2">
        <f>_xlfn.RANK.EQ(I12,I6:I13)</f>
        <v>7</v>
      </c>
      <c r="P12"/>
      <c r="Q12"/>
      <c r="R12"/>
      <c r="S12"/>
      <c r="T12"/>
      <c r="U12"/>
      <c r="V12"/>
    </row>
    <row r="13" spans="2:22" ht="15.75" customHeight="1" outlineLevel="1" x14ac:dyDescent="0.25">
      <c r="B13" s="335"/>
      <c r="C13" s="338"/>
      <c r="D13" s="136">
        <v>8</v>
      </c>
      <c r="E13" s="140">
        <f t="shared" si="0"/>
        <v>18</v>
      </c>
      <c r="F13" s="146" t="str">
        <f>VLOOKUP(E13,'[1]Высшая Лига'!$D:$M,3,FALSE)</f>
        <v xml:space="preserve"> Панков Леонид Александрович</v>
      </c>
      <c r="G13" s="141" t="str">
        <f>VLOOKUP(E13,'[1]Высшая Лига'!$D:$M,4,FALSE)</f>
        <v>1971</v>
      </c>
      <c r="H13" s="146" t="str">
        <f>VLOOKUP(E13,'[1]Высшая Лига'!$D:$M,5,FALSE)</f>
        <v xml:space="preserve"> Симферополь</v>
      </c>
      <c r="I13" s="142">
        <f>VLOOKUP(E13,'[1]Высшая Лига'!$D:$M,6,FALSE)</f>
        <v>533.19000000000005</v>
      </c>
      <c r="J13" s="340"/>
      <c r="K13" s="341"/>
      <c r="L13" s="2">
        <f>_xlfn.RANK.EQ(I13,I6:I13)</f>
        <v>8</v>
      </c>
      <c r="P13"/>
      <c r="Q13"/>
      <c r="R13"/>
      <c r="S13"/>
      <c r="T13"/>
      <c r="U13"/>
      <c r="V13"/>
    </row>
    <row r="14" spans="2:22" ht="15.75" customHeight="1" x14ac:dyDescent="0.25">
      <c r="B14" s="336"/>
      <c r="C14" s="339"/>
      <c r="D14" s="342" t="str">
        <f>INDEX('[1]Высшая Лига'!$A$5:$J$94,B6*9+1,3)</f>
        <v>Тренер: Панков Л.А.</v>
      </c>
      <c r="E14" s="342"/>
      <c r="F14" s="342"/>
      <c r="G14" s="342"/>
      <c r="H14" s="342"/>
      <c r="I14" s="342"/>
      <c r="J14" s="340"/>
      <c r="K14" s="341"/>
      <c r="P14"/>
      <c r="Q14"/>
      <c r="R14"/>
      <c r="S14"/>
      <c r="T14"/>
      <c r="U14"/>
      <c r="V14"/>
    </row>
    <row r="15" spans="2:22" ht="15.75" customHeight="1" x14ac:dyDescent="0.25">
      <c r="B15" s="334">
        <v>2</v>
      </c>
      <c r="C15" s="337" t="str">
        <f>VLOOKUP(B15,'[1]Высшая Лига'!$A:$J,2,FALSE)</f>
        <v>«Аэропорт - спортшкола №3» г.Симферополь</v>
      </c>
      <c r="D15" s="139">
        <v>1</v>
      </c>
      <c r="E15" s="140">
        <f>B15*10+1</f>
        <v>21</v>
      </c>
      <c r="F15" s="146" t="str">
        <f>VLOOKUP(E15,'[1]Высшая Лига'!$D:$M,3,FALSE)</f>
        <v xml:space="preserve"> Павлина Сергей Станиславович</v>
      </c>
      <c r="G15" s="141" t="str">
        <f>VLOOKUP(E15,'[1]Высшая Лига'!$D:$M,4,FALSE)</f>
        <v>1981</v>
      </c>
      <c r="H15" s="146" t="str">
        <f>VLOOKUP(E15,'[1]Высшая Лига'!$D:$M,5,FALSE)</f>
        <v xml:space="preserve"> Донецк</v>
      </c>
      <c r="I15" s="142">
        <f>VLOOKUP(E15,'[1]Высшая Лига'!$D:$M,6,FALSE)</f>
        <v>1173.77</v>
      </c>
      <c r="J15" s="340">
        <f>SUMIF(L15:L22,"&lt;4",I15:I22)</f>
        <v>2704.21</v>
      </c>
      <c r="K15" s="341">
        <f>_xlfn.RANK.EQ(J15,$J$6:$J$95)</f>
        <v>3</v>
      </c>
      <c r="L15" s="2">
        <f>_xlfn.RANK.EQ(I15,I15:I22)</f>
        <v>1</v>
      </c>
      <c r="M15" s="2" t="s">
        <v>146</v>
      </c>
      <c r="N15" s="196" t="s">
        <v>132</v>
      </c>
      <c r="P15"/>
      <c r="Q15"/>
      <c r="R15"/>
      <c r="S15"/>
      <c r="T15"/>
      <c r="U15"/>
      <c r="V15"/>
    </row>
    <row r="16" spans="2:22" ht="15.75" customHeight="1" x14ac:dyDescent="0.25">
      <c r="B16" s="335"/>
      <c r="C16" s="338"/>
      <c r="D16" s="139">
        <v>2</v>
      </c>
      <c r="E16" s="140">
        <f>E15+1</f>
        <v>22</v>
      </c>
      <c r="F16" s="146" t="str">
        <f>VLOOKUP(E16,'[1]Высшая Лига'!$D:$M,3,FALSE)</f>
        <v xml:space="preserve"> Банников Юрий Владимирович</v>
      </c>
      <c r="G16" s="141" t="str">
        <f>VLOOKUP(E16,'[1]Высшая Лига'!$D:$M,4,FALSE)</f>
        <v>1959</v>
      </c>
      <c r="H16" s="146" t="str">
        <f>VLOOKUP(E16,'[1]Высшая Лига'!$D:$M,5,FALSE)</f>
        <v xml:space="preserve"> Симферополь</v>
      </c>
      <c r="I16" s="142">
        <f>VLOOKUP(E16,'[1]Высшая Лига'!$D:$M,6,FALSE)</f>
        <v>774.86</v>
      </c>
      <c r="J16" s="340"/>
      <c r="K16" s="341"/>
      <c r="L16" s="2">
        <f>_xlfn.RANK.EQ(I16,I15:I22)</f>
        <v>2</v>
      </c>
      <c r="P16"/>
      <c r="Q16"/>
      <c r="R16"/>
      <c r="S16"/>
      <c r="T16"/>
      <c r="U16"/>
      <c r="V16"/>
    </row>
    <row r="17" spans="2:22" ht="15.75" customHeight="1" x14ac:dyDescent="0.25">
      <c r="B17" s="335"/>
      <c r="C17" s="338"/>
      <c r="D17" s="139">
        <v>3</v>
      </c>
      <c r="E17" s="140">
        <f t="shared" ref="E17:E22" si="1">E16+1</f>
        <v>23</v>
      </c>
      <c r="F17" s="146" t="str">
        <f>VLOOKUP(E17,'[1]Высшая Лига'!$D:$M,3,FALSE)</f>
        <v xml:space="preserve"> Лодыгин Владимир Вадимович</v>
      </c>
      <c r="G17" s="141" t="str">
        <f>VLOOKUP(E17,'[1]Высшая Лига'!$D:$M,4,FALSE)</f>
        <v>1998</v>
      </c>
      <c r="H17" s="146" t="str">
        <f>VLOOKUP(E17,'[1]Высшая Лига'!$D:$M,5,FALSE)</f>
        <v xml:space="preserve"> Симферополь</v>
      </c>
      <c r="I17" s="142">
        <f>VLOOKUP(E17,'[1]Высшая Лига'!$D:$M,6,FALSE)</f>
        <v>755.58</v>
      </c>
      <c r="J17" s="340"/>
      <c r="K17" s="341"/>
      <c r="L17" s="2">
        <f>_xlfn.RANK.EQ(I17,I15:I22)</f>
        <v>3</v>
      </c>
      <c r="P17"/>
      <c r="Q17"/>
      <c r="R17"/>
      <c r="S17"/>
      <c r="T17"/>
      <c r="U17"/>
      <c r="V17"/>
    </row>
    <row r="18" spans="2:22" ht="15.75" customHeight="1" x14ac:dyDescent="0.25">
      <c r="B18" s="335"/>
      <c r="C18" s="338"/>
      <c r="D18" s="139">
        <v>4</v>
      </c>
      <c r="E18" s="140">
        <f t="shared" si="1"/>
        <v>24</v>
      </c>
      <c r="F18" s="146" t="str">
        <f>VLOOKUP(E18,'[1]Высшая Лига'!$D:$M,3,FALSE)</f>
        <v xml:space="preserve"> Соловей Юрий Анатольевич</v>
      </c>
      <c r="G18" s="141" t="str">
        <f>VLOOKUP(E18,'[1]Высшая Лига'!$D:$M,4,FALSE)</f>
        <v>1982</v>
      </c>
      <c r="H18" s="146" t="str">
        <f>VLOOKUP(E18,'[1]Высшая Лига'!$D:$M,5,FALSE)</f>
        <v xml:space="preserve"> Симферополь</v>
      </c>
      <c r="I18" s="142">
        <f>VLOOKUP(E18,'[1]Высшая Лига'!$D:$M,6,FALSE)</f>
        <v>561.58000000000004</v>
      </c>
      <c r="J18" s="340"/>
      <c r="K18" s="341"/>
      <c r="L18" s="2">
        <f>_xlfn.RANK.EQ(I18,I15:I22)</f>
        <v>4</v>
      </c>
      <c r="P18"/>
      <c r="Q18"/>
      <c r="R18"/>
      <c r="S18"/>
      <c r="T18"/>
      <c r="U18"/>
      <c r="V18"/>
    </row>
    <row r="19" spans="2:22" ht="15.75" hidden="1" customHeight="1" x14ac:dyDescent="0.25">
      <c r="B19" s="335"/>
      <c r="C19" s="338"/>
      <c r="D19" s="139">
        <v>5</v>
      </c>
      <c r="E19" s="140">
        <f t="shared" si="1"/>
        <v>25</v>
      </c>
      <c r="F19" s="146" t="str">
        <f>VLOOKUP(E19,'[1]Высшая Лига'!$D:$M,3,FALSE)</f>
        <v>-</v>
      </c>
      <c r="G19" s="141" t="str">
        <f>VLOOKUP(E19,'[1]Высшая Лига'!$D:$M,4,FALSE)</f>
        <v>-</v>
      </c>
      <c r="H19" s="146" t="str">
        <f>VLOOKUP(E19,'[1]Высшая Лига'!$D:$M,5,FALSE)</f>
        <v>-</v>
      </c>
      <c r="I19" s="142" t="str">
        <f>VLOOKUP(E19,'[1]Высшая Лига'!$D:$M,6,FALSE)</f>
        <v>-</v>
      </c>
      <c r="J19" s="340"/>
      <c r="K19" s="341"/>
      <c r="L19" s="2" t="e">
        <f>_xlfn.RANK.EQ(I19,I15:I22)</f>
        <v>#VALUE!</v>
      </c>
      <c r="P19"/>
      <c r="Q19"/>
      <c r="R19"/>
      <c r="S19"/>
      <c r="T19"/>
      <c r="U19"/>
      <c r="V19"/>
    </row>
    <row r="20" spans="2:22" ht="15.75" hidden="1" customHeight="1" x14ac:dyDescent="0.25">
      <c r="B20" s="335"/>
      <c r="C20" s="338"/>
      <c r="D20" s="139">
        <v>6</v>
      </c>
      <c r="E20" s="140">
        <f t="shared" si="1"/>
        <v>26</v>
      </c>
      <c r="F20" s="146" t="str">
        <f>VLOOKUP(E20,'[1]Высшая Лига'!$D:$M,3,FALSE)</f>
        <v>-</v>
      </c>
      <c r="G20" s="141" t="str">
        <f>VLOOKUP(E20,'[1]Высшая Лига'!$D:$M,4,FALSE)</f>
        <v>-</v>
      </c>
      <c r="H20" s="146" t="str">
        <f>VLOOKUP(E20,'[1]Высшая Лига'!$D:$M,5,FALSE)</f>
        <v>-</v>
      </c>
      <c r="I20" s="142" t="str">
        <f>VLOOKUP(E20,'[1]Высшая Лига'!$D:$M,6,FALSE)</f>
        <v>-</v>
      </c>
      <c r="J20" s="340"/>
      <c r="K20" s="341"/>
      <c r="L20" s="2" t="e">
        <f>_xlfn.RANK.EQ(I20,I15:I22)</f>
        <v>#VALUE!</v>
      </c>
      <c r="P20"/>
      <c r="Q20"/>
      <c r="R20"/>
      <c r="S20"/>
      <c r="T20"/>
      <c r="U20"/>
      <c r="V20"/>
    </row>
    <row r="21" spans="2:22" ht="15.75" hidden="1" customHeight="1" outlineLevel="1" x14ac:dyDescent="0.25">
      <c r="B21" s="335"/>
      <c r="C21" s="338"/>
      <c r="D21" s="139">
        <v>7</v>
      </c>
      <c r="E21" s="140">
        <f t="shared" si="1"/>
        <v>27</v>
      </c>
      <c r="F21" s="146" t="str">
        <f>VLOOKUP(E21,'[1]Высшая Лига'!$D:$M,3,FALSE)</f>
        <v>-</v>
      </c>
      <c r="G21" s="141" t="str">
        <f>VLOOKUP(E21,'[1]Высшая Лига'!$D:$M,4,FALSE)</f>
        <v>-</v>
      </c>
      <c r="H21" s="146" t="str">
        <f>VLOOKUP(E21,'[1]Высшая Лига'!$D:$M,5,FALSE)</f>
        <v>-</v>
      </c>
      <c r="I21" s="142" t="str">
        <f>VLOOKUP(E21,'[1]Высшая Лига'!$D:$M,6,FALSE)</f>
        <v>-</v>
      </c>
      <c r="J21" s="340"/>
      <c r="K21" s="341"/>
      <c r="L21" s="2" t="e">
        <f>_xlfn.RANK.EQ(I21,I15:I22)</f>
        <v>#VALUE!</v>
      </c>
      <c r="P21"/>
      <c r="Q21"/>
      <c r="R21"/>
      <c r="S21"/>
      <c r="T21"/>
      <c r="U21"/>
      <c r="V21"/>
    </row>
    <row r="22" spans="2:22" ht="15.75" hidden="1" customHeight="1" outlineLevel="1" x14ac:dyDescent="0.25">
      <c r="B22" s="335"/>
      <c r="C22" s="338"/>
      <c r="D22" s="139">
        <v>8</v>
      </c>
      <c r="E22" s="140">
        <f t="shared" si="1"/>
        <v>28</v>
      </c>
      <c r="F22" s="146" t="str">
        <f>VLOOKUP(E22,'[1]Высшая Лига'!$D:$M,3,FALSE)</f>
        <v>-</v>
      </c>
      <c r="G22" s="141" t="str">
        <f>VLOOKUP(E22,'[1]Высшая Лига'!$D:$M,4,FALSE)</f>
        <v>-</v>
      </c>
      <c r="H22" s="146" t="str">
        <f>VLOOKUP(E22,'[1]Высшая Лига'!$D:$M,5,FALSE)</f>
        <v>-</v>
      </c>
      <c r="I22" s="142" t="str">
        <f>VLOOKUP(E22,'[1]Высшая Лига'!$D:$M,6,FALSE)</f>
        <v>-</v>
      </c>
      <c r="J22" s="340"/>
      <c r="K22" s="341"/>
      <c r="L22" s="2" t="e">
        <f>_xlfn.RANK.EQ(I22,I15:I22)</f>
        <v>#VALUE!</v>
      </c>
      <c r="P22"/>
      <c r="Q22"/>
      <c r="R22"/>
      <c r="S22"/>
      <c r="T22"/>
      <c r="U22"/>
      <c r="V22"/>
    </row>
    <row r="23" spans="2:22" ht="15.75" customHeight="1" collapsed="1" x14ac:dyDescent="0.25">
      <c r="B23" s="336"/>
      <c r="C23" s="339"/>
      <c r="D23" s="342" t="str">
        <f>INDEX('[1]Высшая Лига'!$A$5:$J$94,B15*9+1,3)</f>
        <v>Тренер: Банников Ю.В.</v>
      </c>
      <c r="E23" s="342"/>
      <c r="F23" s="342"/>
      <c r="G23" s="342"/>
      <c r="H23" s="342"/>
      <c r="I23" s="342"/>
      <c r="J23" s="340"/>
      <c r="K23" s="341"/>
      <c r="P23"/>
      <c r="Q23"/>
      <c r="R23"/>
      <c r="S23"/>
      <c r="T23"/>
      <c r="U23"/>
      <c r="V23"/>
    </row>
    <row r="24" spans="2:22" ht="15.75" customHeight="1" x14ac:dyDescent="0.25">
      <c r="B24" s="334">
        <v>3</v>
      </c>
      <c r="C24" s="337" t="str">
        <f>VLOOKUP(B24,'[1]Высшая Лига'!$A:$J,2,FALSE)</f>
        <v>«Интер»  г.Евпатория</v>
      </c>
      <c r="D24" s="139">
        <v>1</v>
      </c>
      <c r="E24" s="140">
        <f>B24*10+1</f>
        <v>31</v>
      </c>
      <c r="F24" s="146" t="str">
        <f>VLOOKUP(E24,'[1]Высшая Лига'!$D:$M,3,FALSE)</f>
        <v xml:space="preserve"> Сорбало Владислав Федорович</v>
      </c>
      <c r="G24" s="141" t="str">
        <f>VLOOKUP(E24,'[1]Высшая Лига'!$D:$M,4,FALSE)</f>
        <v>1973</v>
      </c>
      <c r="H24" s="146" t="str">
        <f>VLOOKUP(E24,'[1]Высшая Лига'!$D:$M,5,FALSE)</f>
        <v xml:space="preserve"> Евпатория</v>
      </c>
      <c r="I24" s="142">
        <f>VLOOKUP(E24,'[1]Высшая Лига'!$D:$M,6,FALSE)</f>
        <v>1065.45</v>
      </c>
      <c r="J24" s="340">
        <f>SUMIF(L24:L31,"&lt;4",I24:I31)</f>
        <v>2696.92</v>
      </c>
      <c r="K24" s="341">
        <f>_xlfn.RANK.EQ(J24,$J$6:$J$95)</f>
        <v>4</v>
      </c>
      <c r="L24" s="2">
        <f>_xlfn.RANK.EQ(I24,I24:I31)</f>
        <v>1</v>
      </c>
      <c r="M24" s="2" t="s">
        <v>136</v>
      </c>
      <c r="N24" s="196" t="s">
        <v>130</v>
      </c>
      <c r="P24"/>
      <c r="Q24"/>
      <c r="R24"/>
      <c r="S24"/>
      <c r="T24"/>
      <c r="U24"/>
      <c r="V24"/>
    </row>
    <row r="25" spans="2:22" ht="15.75" customHeight="1" x14ac:dyDescent="0.25">
      <c r="B25" s="335"/>
      <c r="C25" s="338"/>
      <c r="D25" s="139">
        <v>2</v>
      </c>
      <c r="E25" s="140">
        <f>E24+1</f>
        <v>32</v>
      </c>
      <c r="F25" s="146" t="str">
        <f>VLOOKUP(E25,'[1]Высшая Лига'!$D:$M,3,FALSE)</f>
        <v xml:space="preserve"> Каулик Алексей Сергеевич</v>
      </c>
      <c r="G25" s="141" t="str">
        <f>VLOOKUP(E25,'[1]Высшая Лига'!$D:$M,4,FALSE)</f>
        <v>1980</v>
      </c>
      <c r="H25" s="146" t="str">
        <f>VLOOKUP(E25,'[1]Высшая Лига'!$D:$M,5,FALSE)</f>
        <v xml:space="preserve"> Ялта</v>
      </c>
      <c r="I25" s="142">
        <f>VLOOKUP(E25,'[1]Высшая Лига'!$D:$M,6,FALSE)</f>
        <v>961.53</v>
      </c>
      <c r="J25" s="340"/>
      <c r="K25" s="341"/>
      <c r="L25" s="2">
        <f>_xlfn.RANK.EQ(I25,I24:I31)</f>
        <v>2</v>
      </c>
      <c r="P25"/>
      <c r="Q25"/>
      <c r="R25"/>
      <c r="S25"/>
      <c r="T25"/>
      <c r="U25"/>
      <c r="V25"/>
    </row>
    <row r="26" spans="2:22" ht="15.75" customHeight="1" x14ac:dyDescent="0.25">
      <c r="B26" s="335"/>
      <c r="C26" s="338"/>
      <c r="D26" s="139">
        <v>3</v>
      </c>
      <c r="E26" s="140">
        <f t="shared" ref="E26:E31" si="2">E25+1</f>
        <v>33</v>
      </c>
      <c r="F26" s="146" t="str">
        <f>VLOOKUP(E26,'[1]Высшая Лига'!$D:$M,3,FALSE)</f>
        <v xml:space="preserve"> Скрипин Василий Иванович</v>
      </c>
      <c r="G26" s="141" t="str">
        <f>VLOOKUP(E26,'[1]Высшая Лига'!$D:$M,4,FALSE)</f>
        <v>1977</v>
      </c>
      <c r="H26" s="146" t="str">
        <f>VLOOKUP(E26,'[1]Высшая Лига'!$D:$M,5,FALSE)</f>
        <v xml:space="preserve"> Евпатория</v>
      </c>
      <c r="I26" s="142">
        <f>VLOOKUP(E26,'[1]Высшая Лига'!$D:$M,6,FALSE)</f>
        <v>669.94</v>
      </c>
      <c r="J26" s="340"/>
      <c r="K26" s="341"/>
      <c r="L26" s="2">
        <f>_xlfn.RANK.EQ(I26,I24:I31)</f>
        <v>3</v>
      </c>
      <c r="P26"/>
      <c r="Q26"/>
      <c r="R26"/>
      <c r="S26"/>
      <c r="T26"/>
      <c r="U26"/>
      <c r="V26"/>
    </row>
    <row r="27" spans="2:22" ht="15.75" customHeight="1" x14ac:dyDescent="0.25">
      <c r="B27" s="335"/>
      <c r="C27" s="338"/>
      <c r="D27" s="139">
        <v>4</v>
      </c>
      <c r="E27" s="140">
        <f t="shared" si="2"/>
        <v>34</v>
      </c>
      <c r="F27" s="146" t="str">
        <f>VLOOKUP(E27,'[1]Высшая Лига'!$D:$M,3,FALSE)</f>
        <v xml:space="preserve"> Сыч Станислав Викторович</v>
      </c>
      <c r="G27" s="141" t="str">
        <f>VLOOKUP(E27,'[1]Высшая Лига'!$D:$M,4,FALSE)</f>
        <v>1971</v>
      </c>
      <c r="H27" s="146" t="str">
        <f>VLOOKUP(E27,'[1]Высшая Лига'!$D:$M,5,FALSE)</f>
        <v xml:space="preserve"> Евпатория</v>
      </c>
      <c r="I27" s="142">
        <f>VLOOKUP(E27,'[1]Высшая Лига'!$D:$M,6,FALSE)</f>
        <v>540.39</v>
      </c>
      <c r="J27" s="340"/>
      <c r="K27" s="341"/>
      <c r="L27" s="2">
        <f>_xlfn.RANK.EQ(I27,I24:I31)</f>
        <v>4</v>
      </c>
      <c r="P27"/>
      <c r="Q27"/>
      <c r="R27"/>
      <c r="S27"/>
      <c r="T27"/>
      <c r="U27"/>
      <c r="V27"/>
    </row>
    <row r="28" spans="2:22" ht="15.75" customHeight="1" x14ac:dyDescent="0.25">
      <c r="B28" s="335"/>
      <c r="C28" s="338"/>
      <c r="D28" s="139">
        <v>5</v>
      </c>
      <c r="E28" s="140">
        <f t="shared" si="2"/>
        <v>35</v>
      </c>
      <c r="F28" s="146" t="str">
        <f>VLOOKUP(E28,'[1]Высшая Лига'!$D:$M,3,FALSE)</f>
        <v xml:space="preserve"> Марусич Дмитрий Олегович</v>
      </c>
      <c r="G28" s="141" t="str">
        <f>VLOOKUP(E28,'[1]Высшая Лига'!$D:$M,4,FALSE)</f>
        <v>1980</v>
      </c>
      <c r="H28" s="146" t="str">
        <f>VLOOKUP(E28,'[1]Высшая Лига'!$D:$M,5,FALSE)</f>
        <v xml:space="preserve"> Евпатория</v>
      </c>
      <c r="I28" s="142">
        <f>VLOOKUP(E28,'[1]Высшая Лига'!$D:$M,6,FALSE)</f>
        <v>460.18</v>
      </c>
      <c r="J28" s="340"/>
      <c r="K28" s="341"/>
      <c r="L28" s="2">
        <f>_xlfn.RANK.EQ(I28,I24:I31)</f>
        <v>5</v>
      </c>
      <c r="P28"/>
      <c r="Q28"/>
      <c r="R28"/>
      <c r="S28"/>
      <c r="T28"/>
      <c r="U28"/>
      <c r="V28"/>
    </row>
    <row r="29" spans="2:22" ht="15.75" customHeight="1" x14ac:dyDescent="0.25">
      <c r="B29" s="335"/>
      <c r="C29" s="338"/>
      <c r="D29" s="139">
        <v>6</v>
      </c>
      <c r="E29" s="140">
        <f t="shared" si="2"/>
        <v>36</v>
      </c>
      <c r="F29" s="146" t="str">
        <f>VLOOKUP(E29,'[1]Высшая Лига'!$D:$M,3,FALSE)</f>
        <v xml:space="preserve"> Кафиев Артур Рафаилович</v>
      </c>
      <c r="G29" s="141" t="str">
        <f>VLOOKUP(E29,'[1]Высшая Лига'!$D:$M,4,FALSE)</f>
        <v>1964</v>
      </c>
      <c r="H29" s="146" t="str">
        <f>VLOOKUP(E29,'[1]Высшая Лига'!$D:$M,5,FALSE)</f>
        <v xml:space="preserve"> Евпатория</v>
      </c>
      <c r="I29" s="142">
        <f>VLOOKUP(E29,'[1]Высшая Лига'!$D:$M,6,FALSE)</f>
        <v>359.4</v>
      </c>
      <c r="J29" s="340"/>
      <c r="K29" s="341"/>
      <c r="L29" s="2">
        <f>_xlfn.RANK.EQ(I29,I24:I31)</f>
        <v>6</v>
      </c>
      <c r="P29"/>
      <c r="Q29"/>
      <c r="R29"/>
      <c r="S29"/>
      <c r="T29"/>
      <c r="U29"/>
      <c r="V29"/>
    </row>
    <row r="30" spans="2:22" ht="15.75" customHeight="1" outlineLevel="1" x14ac:dyDescent="0.25">
      <c r="B30" s="335"/>
      <c r="C30" s="338"/>
      <c r="D30" s="139">
        <v>7</v>
      </c>
      <c r="E30" s="140">
        <f t="shared" si="2"/>
        <v>37</v>
      </c>
      <c r="F30" s="146" t="str">
        <f>VLOOKUP(E30,'[1]Высшая Лига'!$D:$M,3,FALSE)</f>
        <v xml:space="preserve"> Калинин Илья Валерьевич</v>
      </c>
      <c r="G30" s="141" t="str">
        <f>VLOOKUP(E30,'[1]Высшая Лига'!$D:$M,4,FALSE)</f>
        <v>1981</v>
      </c>
      <c r="H30" s="146" t="str">
        <f>VLOOKUP(E30,'[1]Высшая Лига'!$D:$M,5,FALSE)</f>
        <v xml:space="preserve"> Евпатория</v>
      </c>
      <c r="I30" s="142">
        <f>VLOOKUP(E30,'[1]Высшая Лига'!$D:$M,6,FALSE)</f>
        <v>352.42</v>
      </c>
      <c r="J30" s="340"/>
      <c r="K30" s="341"/>
      <c r="L30" s="2">
        <f>_xlfn.RANK.EQ(I30,I24:I31)</f>
        <v>7</v>
      </c>
      <c r="P30"/>
      <c r="Q30"/>
      <c r="R30"/>
      <c r="S30"/>
      <c r="T30"/>
      <c r="U30"/>
      <c r="V30"/>
    </row>
    <row r="31" spans="2:22" ht="15.75" customHeight="1" outlineLevel="1" x14ac:dyDescent="0.25">
      <c r="B31" s="335"/>
      <c r="C31" s="338"/>
      <c r="D31" s="139">
        <v>8</v>
      </c>
      <c r="E31" s="140">
        <f t="shared" si="2"/>
        <v>38</v>
      </c>
      <c r="F31" s="146" t="str">
        <f>VLOOKUP(E31,'[1]Высшая Лига'!$D:$M,3,FALSE)</f>
        <v xml:space="preserve"> Скрипин Иван Васильевич</v>
      </c>
      <c r="G31" s="141" t="str">
        <f>VLOOKUP(E31,'[1]Высшая Лига'!$D:$M,4,FALSE)</f>
        <v>1998</v>
      </c>
      <c r="H31" s="146" t="str">
        <f>VLOOKUP(E31,'[1]Высшая Лига'!$D:$M,5,FALSE)</f>
        <v xml:space="preserve"> Евпатория</v>
      </c>
      <c r="I31" s="142">
        <f>VLOOKUP(E31,'[1]Высшая Лига'!$D:$M,6,FALSE)</f>
        <v>50.61</v>
      </c>
      <c r="J31" s="340"/>
      <c r="K31" s="341"/>
      <c r="L31" s="2">
        <f>_xlfn.RANK.EQ(I31,I24:I31)</f>
        <v>8</v>
      </c>
      <c r="P31"/>
      <c r="Q31"/>
      <c r="R31"/>
      <c r="S31"/>
      <c r="T31"/>
      <c r="U31"/>
      <c r="V31"/>
    </row>
    <row r="32" spans="2:22" ht="15.75" customHeight="1" x14ac:dyDescent="0.25">
      <c r="B32" s="336"/>
      <c r="C32" s="339"/>
      <c r="D32" s="342" t="str">
        <f>INDEX('[1]Высшая Лига'!$A$5:$J$94,B24*9+1,3)</f>
        <v>Тренер: Хилик К.А., Скрипин В.И.</v>
      </c>
      <c r="E32" s="342"/>
      <c r="F32" s="342"/>
      <c r="G32" s="342"/>
      <c r="H32" s="342"/>
      <c r="I32" s="342"/>
      <c r="J32" s="340"/>
      <c r="K32" s="341"/>
      <c r="P32"/>
      <c r="Q32"/>
      <c r="R32"/>
      <c r="S32"/>
      <c r="T32"/>
      <c r="U32"/>
      <c r="V32"/>
    </row>
    <row r="33" spans="2:22" ht="15.75" customHeight="1" x14ac:dyDescent="0.25">
      <c r="B33" s="334">
        <v>4</v>
      </c>
      <c r="C33" s="337" t="str">
        <f>VLOOKUP(B33,'[1]Высшая Лига'!$A:$J,2,FALSE)</f>
        <v>«Дрим Тим» г.Симферополь</v>
      </c>
      <c r="D33" s="139">
        <v>1</v>
      </c>
      <c r="E33" s="140">
        <f>B33*10+1</f>
        <v>41</v>
      </c>
      <c r="F33" s="146" t="str">
        <f>VLOOKUP(E33,'[1]Высшая Лига'!$D:$M,3,FALSE)</f>
        <v xml:space="preserve"> Гаврилов Денис Михайлович</v>
      </c>
      <c r="G33" s="141" t="str">
        <f>VLOOKUP(E33,'[1]Высшая Лига'!$D:$M,4,FALSE)</f>
        <v>1977</v>
      </c>
      <c r="H33" s="146" t="str">
        <f>VLOOKUP(E33,'[1]Высшая Лига'!$D:$M,5,FALSE)</f>
        <v xml:space="preserve"> Самара</v>
      </c>
      <c r="I33" s="142">
        <f>VLOOKUP(E33,'[1]Высшая Лига'!$D:$M,6,FALSE)</f>
        <v>1344.22</v>
      </c>
      <c r="J33" s="340">
        <f>SUMIF(L33:L40,"&lt;4",I33:I40)</f>
        <v>2955.53</v>
      </c>
      <c r="K33" s="341">
        <f>_xlfn.RANK.EQ(J33,$J$6:$J$95)</f>
        <v>2</v>
      </c>
      <c r="L33" s="2">
        <f>_xlfn.RANK.EQ(I33,$I$33:$I$40)</f>
        <v>1</v>
      </c>
      <c r="M33" s="2" t="s">
        <v>135</v>
      </c>
      <c r="N33" s="196" t="s">
        <v>129</v>
      </c>
      <c r="P33"/>
      <c r="Q33"/>
      <c r="R33"/>
      <c r="S33"/>
      <c r="T33"/>
      <c r="U33"/>
      <c r="V33"/>
    </row>
    <row r="34" spans="2:22" ht="15.75" customHeight="1" x14ac:dyDescent="0.25">
      <c r="B34" s="335"/>
      <c r="C34" s="338"/>
      <c r="D34" s="139">
        <v>2</v>
      </c>
      <c r="E34" s="140">
        <f>E33+1</f>
        <v>42</v>
      </c>
      <c r="F34" s="146" t="str">
        <f>VLOOKUP(E34,'[1]Высшая Лига'!$D:$M,3,FALSE)</f>
        <v xml:space="preserve"> Курило Игорь Сергеевич</v>
      </c>
      <c r="G34" s="141" t="str">
        <f>VLOOKUP(E34,'[1]Высшая Лига'!$D:$M,4,FALSE)</f>
        <v>1995</v>
      </c>
      <c r="H34" s="146" t="str">
        <f>VLOOKUP(E34,'[1]Высшая Лига'!$D:$M,5,FALSE)</f>
        <v xml:space="preserve"> Ялта</v>
      </c>
      <c r="I34" s="142">
        <f>VLOOKUP(E34,'[1]Высшая Лига'!$D:$M,6,FALSE)</f>
        <v>837.22</v>
      </c>
      <c r="J34" s="340"/>
      <c r="K34" s="341"/>
      <c r="L34" s="2">
        <f t="shared" ref="L34:L40" si="3">_xlfn.RANK.EQ(I34,$I$33:$I$40)</f>
        <v>2</v>
      </c>
      <c r="P34"/>
      <c r="Q34"/>
      <c r="R34"/>
      <c r="S34"/>
      <c r="T34"/>
      <c r="U34"/>
      <c r="V34"/>
    </row>
    <row r="35" spans="2:22" ht="15.75" customHeight="1" x14ac:dyDescent="0.25">
      <c r="B35" s="335"/>
      <c r="C35" s="338"/>
      <c r="D35" s="139">
        <v>3</v>
      </c>
      <c r="E35" s="140">
        <f t="shared" ref="E35:E40" si="4">E34+1</f>
        <v>43</v>
      </c>
      <c r="F35" s="146" t="str">
        <f>VLOOKUP(E35,'[1]Высшая Лига'!$D:$M,3,FALSE)</f>
        <v xml:space="preserve"> Длугоканский Андрей Александрович</v>
      </c>
      <c r="G35" s="141" t="str">
        <f>VLOOKUP(E35,'[1]Высшая Лига'!$D:$M,4,FALSE)</f>
        <v>2000</v>
      </c>
      <c r="H35" s="146" t="str">
        <f>VLOOKUP(E35,'[1]Высшая Лига'!$D:$M,5,FALSE)</f>
        <v xml:space="preserve"> Ялта</v>
      </c>
      <c r="I35" s="142">
        <f>VLOOKUP(E35,'[1]Высшая Лига'!$D:$M,6,FALSE)</f>
        <v>774.09</v>
      </c>
      <c r="J35" s="340"/>
      <c r="K35" s="341"/>
      <c r="L35" s="2">
        <f t="shared" si="3"/>
        <v>3</v>
      </c>
      <c r="P35"/>
      <c r="Q35"/>
      <c r="R35"/>
      <c r="S35"/>
      <c r="T35"/>
      <c r="U35"/>
      <c r="V35"/>
    </row>
    <row r="36" spans="2:22" ht="15.75" customHeight="1" x14ac:dyDescent="0.25">
      <c r="B36" s="335"/>
      <c r="C36" s="338"/>
      <c r="D36" s="139">
        <v>4</v>
      </c>
      <c r="E36" s="140">
        <f t="shared" si="4"/>
        <v>44</v>
      </c>
      <c r="F36" s="146" t="str">
        <f>VLOOKUP(E36,'[1]Высшая Лига'!$D:$M,3,FALSE)</f>
        <v xml:space="preserve"> Полтев Данил Сергеевич</v>
      </c>
      <c r="G36" s="141" t="str">
        <f>VLOOKUP(E36,'[1]Высшая Лига'!$D:$M,4,FALSE)</f>
        <v>1998</v>
      </c>
      <c r="H36" s="146" t="str">
        <f>VLOOKUP(E36,'[1]Высшая Лига'!$D:$M,5,FALSE)</f>
        <v xml:space="preserve"> Симферополь</v>
      </c>
      <c r="I36" s="142">
        <f>VLOOKUP(E36,'[1]Высшая Лига'!$D:$M,6,FALSE)</f>
        <v>716.83</v>
      </c>
      <c r="J36" s="340"/>
      <c r="K36" s="341"/>
      <c r="L36" s="2">
        <f t="shared" si="3"/>
        <v>4</v>
      </c>
      <c r="P36"/>
      <c r="Q36"/>
      <c r="R36"/>
      <c r="S36"/>
      <c r="T36"/>
      <c r="U36"/>
      <c r="V36"/>
    </row>
    <row r="37" spans="2:22" ht="15.75" customHeight="1" x14ac:dyDescent="0.25">
      <c r="B37" s="335"/>
      <c r="C37" s="338"/>
      <c r="D37" s="139">
        <v>5</v>
      </c>
      <c r="E37" s="140">
        <f t="shared" si="4"/>
        <v>45</v>
      </c>
      <c r="F37" s="146" t="str">
        <f>VLOOKUP(E37,'[1]Высшая Лига'!$D:$M,3,FALSE)</f>
        <v xml:space="preserve"> Ткаченко Владимир Михайлович</v>
      </c>
      <c r="G37" s="141" t="str">
        <f>VLOOKUP(E37,'[1]Высшая Лига'!$D:$M,4,FALSE)</f>
        <v>1979</v>
      </c>
      <c r="H37" s="146" t="str">
        <f>VLOOKUP(E37,'[1]Высшая Лига'!$D:$M,5,FALSE)</f>
        <v xml:space="preserve"> Симферополь</v>
      </c>
      <c r="I37" s="142">
        <f>VLOOKUP(E37,'[1]Высшая Лига'!$D:$M,6,FALSE)</f>
        <v>715.35</v>
      </c>
      <c r="J37" s="340"/>
      <c r="K37" s="341"/>
      <c r="L37" s="2">
        <f t="shared" si="3"/>
        <v>5</v>
      </c>
      <c r="P37"/>
      <c r="Q37"/>
      <c r="R37"/>
      <c r="S37"/>
      <c r="T37"/>
      <c r="U37"/>
      <c r="V37"/>
    </row>
    <row r="38" spans="2:22" ht="15.75" customHeight="1" x14ac:dyDescent="0.25">
      <c r="B38" s="335"/>
      <c r="C38" s="338"/>
      <c r="D38" s="139">
        <v>6</v>
      </c>
      <c r="E38" s="140">
        <f t="shared" si="4"/>
        <v>46</v>
      </c>
      <c r="F38" s="146" t="str">
        <f>VLOOKUP(E38,'[1]Высшая Лига'!$D:$M,3,FALSE)</f>
        <v xml:space="preserve"> Животов Дмитрий Викторович</v>
      </c>
      <c r="G38" s="141" t="str">
        <f>VLOOKUP(E38,'[1]Высшая Лига'!$D:$M,4,FALSE)</f>
        <v>1985</v>
      </c>
      <c r="H38" s="146" t="str">
        <f>VLOOKUP(E38,'[1]Высшая Лига'!$D:$M,5,FALSE)</f>
        <v xml:space="preserve"> Керчь</v>
      </c>
      <c r="I38" s="142">
        <f>VLOOKUP(E38,'[1]Высшая Лига'!$D:$M,6,FALSE)</f>
        <v>694.41</v>
      </c>
      <c r="J38" s="340"/>
      <c r="K38" s="341"/>
      <c r="L38" s="2">
        <f t="shared" si="3"/>
        <v>6</v>
      </c>
      <c r="P38"/>
      <c r="Q38"/>
      <c r="R38"/>
      <c r="S38"/>
      <c r="T38"/>
      <c r="U38"/>
      <c r="V38"/>
    </row>
    <row r="39" spans="2:22" ht="15.75" customHeight="1" outlineLevel="1" x14ac:dyDescent="0.25">
      <c r="B39" s="335"/>
      <c r="C39" s="338"/>
      <c r="D39" s="139">
        <v>7</v>
      </c>
      <c r="E39" s="140">
        <f t="shared" si="4"/>
        <v>47</v>
      </c>
      <c r="F39" s="146" t="str">
        <f>VLOOKUP(E39,'[1]Высшая Лига'!$D:$M,3,FALSE)</f>
        <v xml:space="preserve"> Скоробогатов Евгений Петрович</v>
      </c>
      <c r="G39" s="141" t="str">
        <f>VLOOKUP(E39,'[1]Высшая Лига'!$D:$M,4,FALSE)</f>
        <v>1978</v>
      </c>
      <c r="H39" s="146" t="str">
        <f>VLOOKUP(E39,'[1]Высшая Лига'!$D:$M,5,FALSE)</f>
        <v xml:space="preserve"> Симферополь</v>
      </c>
      <c r="I39" s="142">
        <f>VLOOKUP(E39,'[1]Высшая Лига'!$D:$M,6,FALSE)</f>
        <v>518.16999999999996</v>
      </c>
      <c r="J39" s="340"/>
      <c r="K39" s="341"/>
      <c r="L39" s="2">
        <f t="shared" si="3"/>
        <v>7</v>
      </c>
      <c r="P39"/>
      <c r="Q39"/>
      <c r="R39"/>
      <c r="S39"/>
      <c r="T39"/>
      <c r="U39"/>
      <c r="V39"/>
    </row>
    <row r="40" spans="2:22" ht="15.75" customHeight="1" outlineLevel="1" x14ac:dyDescent="0.25">
      <c r="B40" s="335"/>
      <c r="C40" s="338"/>
      <c r="D40" s="139">
        <v>8</v>
      </c>
      <c r="E40" s="140">
        <f t="shared" si="4"/>
        <v>48</v>
      </c>
      <c r="F40" s="146" t="str">
        <f>VLOOKUP(E40,'[1]Высшая Лига'!$D:$M,3,FALSE)</f>
        <v xml:space="preserve"> Скоробогатов Александр Евгеньевич</v>
      </c>
      <c r="G40" s="141" t="str">
        <f>VLOOKUP(E40,'[1]Высшая Лига'!$D:$M,4,FALSE)</f>
        <v>2014</v>
      </c>
      <c r="H40" s="146" t="str">
        <f>VLOOKUP(E40,'[1]Высшая Лига'!$D:$M,5,FALSE)</f>
        <v xml:space="preserve"> Симферополь</v>
      </c>
      <c r="I40" s="142">
        <f>VLOOKUP(E40,'[1]Высшая Лига'!$D:$M,6,FALSE)</f>
        <v>44.98</v>
      </c>
      <c r="J40" s="340"/>
      <c r="K40" s="341"/>
      <c r="L40" s="2">
        <f t="shared" si="3"/>
        <v>8</v>
      </c>
      <c r="P40"/>
      <c r="Q40"/>
      <c r="R40"/>
      <c r="S40"/>
      <c r="T40"/>
      <c r="U40"/>
      <c r="V40"/>
    </row>
    <row r="41" spans="2:22" ht="15.75" customHeight="1" x14ac:dyDescent="0.25">
      <c r="B41" s="336"/>
      <c r="C41" s="339"/>
      <c r="D41" s="342" t="str">
        <f>INDEX('[1]Высшая Лига'!$A$5:$J$94,B33*9+1,3)</f>
        <v>Тренер: Скоробогатов Е.П.</v>
      </c>
      <c r="E41" s="342"/>
      <c r="F41" s="342"/>
      <c r="G41" s="342"/>
      <c r="H41" s="342"/>
      <c r="I41" s="342"/>
      <c r="J41" s="340"/>
      <c r="K41" s="341"/>
      <c r="P41"/>
      <c r="Q41"/>
      <c r="R41"/>
      <c r="S41"/>
      <c r="T41"/>
      <c r="U41"/>
      <c r="V41"/>
    </row>
    <row r="42" spans="2:22" ht="15.75" customHeight="1" x14ac:dyDescent="0.25">
      <c r="B42" s="334">
        <v>5</v>
      </c>
      <c r="C42" s="337" t="str">
        <f>VLOOKUP(B42,'[1]Высшая Лига'!$A:$J,2,FALSE)</f>
        <v>«Рассвет» г.Симферополь</v>
      </c>
      <c r="D42" s="139">
        <v>1</v>
      </c>
      <c r="E42" s="140">
        <f>B42*10+1</f>
        <v>51</v>
      </c>
      <c r="F42" s="146" t="str">
        <f>VLOOKUP(E42,'[1]Высшая Лига'!$D:$M,3,FALSE)</f>
        <v xml:space="preserve"> Пикульский Никита Петрович</v>
      </c>
      <c r="G42" s="141" t="str">
        <f>VLOOKUP(E42,'[1]Высшая Лига'!$D:$M,4,FALSE)</f>
        <v>1994</v>
      </c>
      <c r="H42" s="146" t="str">
        <f>VLOOKUP(E42,'[1]Высшая Лига'!$D:$M,5,FALSE)</f>
        <v xml:space="preserve"> Джанкой</v>
      </c>
      <c r="I42" s="142">
        <f>VLOOKUP(E42,'[1]Высшая Лига'!$D:$M,6,FALSE)</f>
        <v>744.89</v>
      </c>
      <c r="J42" s="340">
        <f>SUMIF(L42:L49,"&lt;4",I42:I49)</f>
        <v>1952.81</v>
      </c>
      <c r="K42" s="341">
        <f>_xlfn.RANK.EQ(J42,$J$6:$J$95)</f>
        <v>8</v>
      </c>
      <c r="L42" s="2">
        <f>_xlfn.RANK.EQ(I42,I42:I49)</f>
        <v>1</v>
      </c>
      <c r="M42" s="2" t="s">
        <v>140</v>
      </c>
      <c r="N42" s="196" t="s">
        <v>145</v>
      </c>
      <c r="P42"/>
      <c r="Q42"/>
      <c r="R42"/>
      <c r="S42"/>
      <c r="T42"/>
      <c r="U42"/>
      <c r="V42"/>
    </row>
    <row r="43" spans="2:22" ht="15.75" customHeight="1" x14ac:dyDescent="0.25">
      <c r="B43" s="335"/>
      <c r="C43" s="338"/>
      <c r="D43" s="139">
        <v>2</v>
      </c>
      <c r="E43" s="140">
        <f>E42+1</f>
        <v>52</v>
      </c>
      <c r="F43" s="146" t="str">
        <f>VLOOKUP(E43,'[1]Высшая Лига'!$D:$M,3,FALSE)</f>
        <v xml:space="preserve"> Третьяков Олег Маратович</v>
      </c>
      <c r="G43" s="141" t="str">
        <f>VLOOKUP(E43,'[1]Высшая Лига'!$D:$M,4,FALSE)</f>
        <v>1970</v>
      </c>
      <c r="H43" s="146" t="str">
        <f>VLOOKUP(E43,'[1]Высшая Лига'!$D:$M,5,FALSE)</f>
        <v xml:space="preserve"> Симферополь</v>
      </c>
      <c r="I43" s="142">
        <f>VLOOKUP(E43,'[1]Высшая Лига'!$D:$M,6,FALSE)</f>
        <v>630.17999999999995</v>
      </c>
      <c r="J43" s="340"/>
      <c r="K43" s="341"/>
      <c r="L43" s="2">
        <f>_xlfn.RANK.EQ(I43,I42:I49)</f>
        <v>2</v>
      </c>
      <c r="P43"/>
      <c r="Q43"/>
      <c r="R43"/>
      <c r="S43"/>
      <c r="T43"/>
      <c r="U43"/>
      <c r="V43"/>
    </row>
    <row r="44" spans="2:22" ht="15.75" customHeight="1" x14ac:dyDescent="0.25">
      <c r="B44" s="335"/>
      <c r="C44" s="338"/>
      <c r="D44" s="139">
        <v>3</v>
      </c>
      <c r="E44" s="140">
        <f t="shared" ref="E44:E49" si="5">E43+1</f>
        <v>53</v>
      </c>
      <c r="F44" s="146" t="str">
        <f>VLOOKUP(E44,'[1]Высшая Лига'!$D:$M,3,FALSE)</f>
        <v xml:space="preserve"> Рехтин Андрей Павлович</v>
      </c>
      <c r="G44" s="141" t="str">
        <f>VLOOKUP(E44,'[1]Высшая Лига'!$D:$M,4,FALSE)</f>
        <v>2004</v>
      </c>
      <c r="H44" s="146" t="str">
        <f>VLOOKUP(E44,'[1]Высшая Лига'!$D:$M,5,FALSE)</f>
        <v xml:space="preserve"> Симферополь</v>
      </c>
      <c r="I44" s="142">
        <f>VLOOKUP(E44,'[1]Высшая Лига'!$D:$M,6,FALSE)</f>
        <v>577.74</v>
      </c>
      <c r="J44" s="340"/>
      <c r="K44" s="341"/>
      <c r="L44" s="2">
        <f>_xlfn.RANK.EQ(I44,I42:I49)</f>
        <v>3</v>
      </c>
      <c r="P44"/>
      <c r="Q44"/>
      <c r="R44"/>
      <c r="S44"/>
      <c r="T44"/>
      <c r="U44"/>
      <c r="V44"/>
    </row>
    <row r="45" spans="2:22" ht="15.75" customHeight="1" x14ac:dyDescent="0.25">
      <c r="B45" s="335"/>
      <c r="C45" s="338"/>
      <c r="D45" s="139">
        <v>4</v>
      </c>
      <c r="E45" s="140">
        <f t="shared" si="5"/>
        <v>54</v>
      </c>
      <c r="F45" s="146" t="str">
        <f>VLOOKUP(E45,'[1]Высшая Лига'!$D:$M,3,FALSE)</f>
        <v xml:space="preserve"> Алёшкин Дмитрий Сергеевич</v>
      </c>
      <c r="G45" s="141" t="str">
        <f>VLOOKUP(E45,'[1]Высшая Лига'!$D:$M,4,FALSE)</f>
        <v>1993</v>
      </c>
      <c r="H45" s="146" t="str">
        <f>VLOOKUP(E45,'[1]Высшая Лига'!$D:$M,5,FALSE)</f>
        <v xml:space="preserve"> Феодосия</v>
      </c>
      <c r="I45" s="142">
        <f>VLOOKUP(E45,'[1]Высшая Лига'!$D:$M,6,FALSE)</f>
        <v>547.16</v>
      </c>
      <c r="J45" s="340"/>
      <c r="K45" s="341"/>
      <c r="L45" s="2">
        <f>_xlfn.RANK.EQ(I45,I42:I49)</f>
        <v>4</v>
      </c>
      <c r="P45"/>
      <c r="Q45"/>
      <c r="R45"/>
      <c r="S45"/>
      <c r="T45"/>
      <c r="U45"/>
      <c r="V45"/>
    </row>
    <row r="46" spans="2:22" ht="15.75" hidden="1" customHeight="1" outlineLevel="1" x14ac:dyDescent="0.25">
      <c r="B46" s="335"/>
      <c r="C46" s="338"/>
      <c r="D46" s="139">
        <v>5</v>
      </c>
      <c r="E46" s="140">
        <f t="shared" si="5"/>
        <v>55</v>
      </c>
      <c r="F46" s="146" t="str">
        <f>VLOOKUP(E46,'[1]Высшая Лига'!$D:$M,3,FALSE)</f>
        <v>-</v>
      </c>
      <c r="G46" s="141" t="str">
        <f>VLOOKUP(E46,'[1]Высшая Лига'!$D:$M,4,FALSE)</f>
        <v>-</v>
      </c>
      <c r="H46" s="146" t="str">
        <f>VLOOKUP(E46,'[1]Высшая Лига'!$D:$M,5,FALSE)</f>
        <v>-</v>
      </c>
      <c r="I46" s="142" t="str">
        <f>VLOOKUP(E46,'[1]Высшая Лига'!$D:$M,6,FALSE)</f>
        <v>-</v>
      </c>
      <c r="J46" s="340"/>
      <c r="K46" s="341"/>
      <c r="L46" s="2" t="e">
        <f>_xlfn.RANK.EQ(I46,I42:I49)</f>
        <v>#VALUE!</v>
      </c>
      <c r="P46"/>
      <c r="Q46"/>
      <c r="R46"/>
      <c r="S46"/>
      <c r="T46"/>
      <c r="U46"/>
      <c r="V46"/>
    </row>
    <row r="47" spans="2:22" ht="15.75" hidden="1" customHeight="1" outlineLevel="1" x14ac:dyDescent="0.25">
      <c r="B47" s="335"/>
      <c r="C47" s="338"/>
      <c r="D47" s="139">
        <v>6</v>
      </c>
      <c r="E47" s="140">
        <f t="shared" si="5"/>
        <v>56</v>
      </c>
      <c r="F47" s="146" t="str">
        <f>VLOOKUP(E47,'[1]Высшая Лига'!$D:$M,3,FALSE)</f>
        <v>-</v>
      </c>
      <c r="G47" s="141" t="str">
        <f>VLOOKUP(E47,'[1]Высшая Лига'!$D:$M,4,FALSE)</f>
        <v>-</v>
      </c>
      <c r="H47" s="146" t="str">
        <f>VLOOKUP(E47,'[1]Высшая Лига'!$D:$M,5,FALSE)</f>
        <v>-</v>
      </c>
      <c r="I47" s="142" t="str">
        <f>VLOOKUP(E47,'[1]Высшая Лига'!$D:$M,6,FALSE)</f>
        <v>-</v>
      </c>
      <c r="J47" s="340"/>
      <c r="K47" s="341"/>
      <c r="L47" s="2" t="e">
        <f>_xlfn.RANK.EQ(I47,I42:I49)</f>
        <v>#VALUE!</v>
      </c>
      <c r="P47"/>
      <c r="Q47"/>
      <c r="R47"/>
      <c r="S47"/>
      <c r="T47"/>
      <c r="U47"/>
      <c r="V47"/>
    </row>
    <row r="48" spans="2:22" ht="15.75" hidden="1" customHeight="1" outlineLevel="1" x14ac:dyDescent="0.25">
      <c r="B48" s="335"/>
      <c r="C48" s="338"/>
      <c r="D48" s="139">
        <v>7</v>
      </c>
      <c r="E48" s="140">
        <f t="shared" si="5"/>
        <v>57</v>
      </c>
      <c r="F48" s="146" t="str">
        <f>VLOOKUP(E48,'[1]Высшая Лига'!$D:$M,3,FALSE)</f>
        <v>-</v>
      </c>
      <c r="G48" s="141" t="str">
        <f>VLOOKUP(E48,'[1]Высшая Лига'!$D:$M,4,FALSE)</f>
        <v>-</v>
      </c>
      <c r="H48" s="146" t="str">
        <f>VLOOKUP(E48,'[1]Высшая Лига'!$D:$M,5,FALSE)</f>
        <v>-</v>
      </c>
      <c r="I48" s="142" t="str">
        <f>VLOOKUP(E48,'[1]Высшая Лига'!$D:$M,6,FALSE)</f>
        <v>-</v>
      </c>
      <c r="J48" s="340"/>
      <c r="K48" s="341"/>
      <c r="L48" s="2" t="e">
        <f>_xlfn.RANK.EQ(I48,I42:I49)</f>
        <v>#VALUE!</v>
      </c>
      <c r="P48"/>
      <c r="Q48"/>
      <c r="R48"/>
      <c r="S48"/>
      <c r="T48"/>
      <c r="U48"/>
      <c r="V48"/>
    </row>
    <row r="49" spans="2:22" ht="15.75" hidden="1" customHeight="1" outlineLevel="1" x14ac:dyDescent="0.25">
      <c r="B49" s="335"/>
      <c r="C49" s="338"/>
      <c r="D49" s="139">
        <v>8</v>
      </c>
      <c r="E49" s="140">
        <f t="shared" si="5"/>
        <v>58</v>
      </c>
      <c r="F49" s="146" t="str">
        <f>VLOOKUP(E49,'[1]Высшая Лига'!$D:$M,3,FALSE)</f>
        <v>-</v>
      </c>
      <c r="G49" s="141" t="str">
        <f>VLOOKUP(E49,'[1]Высшая Лига'!$D:$M,4,FALSE)</f>
        <v>-</v>
      </c>
      <c r="H49" s="146" t="str">
        <f>VLOOKUP(E49,'[1]Высшая Лига'!$D:$M,5,FALSE)</f>
        <v>-</v>
      </c>
      <c r="I49" s="142" t="str">
        <f>VLOOKUP(E49,'[1]Высшая Лига'!$D:$M,6,FALSE)</f>
        <v>-</v>
      </c>
      <c r="J49" s="340"/>
      <c r="K49" s="341"/>
      <c r="L49" s="2" t="e">
        <f>_xlfn.RANK.EQ(I49,I42:I49)</f>
        <v>#VALUE!</v>
      </c>
      <c r="P49"/>
      <c r="Q49"/>
      <c r="R49"/>
      <c r="S49"/>
      <c r="T49"/>
      <c r="U49"/>
      <c r="V49"/>
    </row>
    <row r="50" spans="2:22" ht="15.75" customHeight="1" collapsed="1" x14ac:dyDescent="0.25">
      <c r="B50" s="336"/>
      <c r="C50" s="339"/>
      <c r="D50" s="342" t="str">
        <f>INDEX('[1]Высшая Лига'!$A$5:$J$94,B42*9+1,3)</f>
        <v>Тренер: Пикульский Н.С., Третьяков О.М.</v>
      </c>
      <c r="E50" s="342"/>
      <c r="F50" s="342"/>
      <c r="G50" s="342"/>
      <c r="H50" s="342"/>
      <c r="I50" s="342"/>
      <c r="J50" s="340"/>
      <c r="K50" s="341"/>
      <c r="P50"/>
      <c r="Q50"/>
      <c r="R50"/>
      <c r="S50"/>
      <c r="T50"/>
      <c r="U50"/>
      <c r="V50"/>
    </row>
    <row r="51" spans="2:22" ht="15.75" customHeight="1" x14ac:dyDescent="0.25">
      <c r="B51" s="334">
        <v>6</v>
      </c>
      <c r="C51" s="337" t="str">
        <f>VLOOKUP(B51,'[1]Высшая Лига'!$A:$J,2,FALSE)</f>
        <v>«АРСЕНАЛ-С» г.Севастополь</v>
      </c>
      <c r="D51" s="136">
        <v>1</v>
      </c>
      <c r="E51" s="140">
        <f>B51*10+1</f>
        <v>61</v>
      </c>
      <c r="F51" s="146" t="str">
        <f>VLOOKUP(E51,'[1]Высшая Лига'!$D:$M,3,FALSE)</f>
        <v xml:space="preserve"> Перфильев Алексей Алексеевич</v>
      </c>
      <c r="G51" s="141" t="str">
        <f>VLOOKUP(E51,'[1]Высшая Лига'!$D:$M,4,FALSE)</f>
        <v>2005</v>
      </c>
      <c r="H51" s="146" t="str">
        <f>VLOOKUP(E51,'[1]Высшая Лига'!$D:$M,5,FALSE)</f>
        <v xml:space="preserve"> Барнаул</v>
      </c>
      <c r="I51" s="142">
        <f>VLOOKUP(E51,'[1]Высшая Лига'!$D:$M,6,FALSE)</f>
        <v>1158.42</v>
      </c>
      <c r="J51" s="340">
        <f>SUMIF(L51:L58,"&lt;4",I51:I58)</f>
        <v>2687.4300000000003</v>
      </c>
      <c r="K51" s="341">
        <f>_xlfn.RANK.EQ(J51,$J$6:$J$95)</f>
        <v>5</v>
      </c>
      <c r="L51" s="2">
        <f>_xlfn.RANK.EQ(I51,I51:I58)</f>
        <v>1</v>
      </c>
      <c r="M51" s="2" t="s">
        <v>139</v>
      </c>
      <c r="N51" s="196" t="s">
        <v>131</v>
      </c>
      <c r="P51"/>
      <c r="Q51"/>
      <c r="R51"/>
      <c r="S51"/>
      <c r="T51"/>
      <c r="U51"/>
      <c r="V51"/>
    </row>
    <row r="52" spans="2:22" ht="15.75" customHeight="1" x14ac:dyDescent="0.25">
      <c r="B52" s="335"/>
      <c r="C52" s="338"/>
      <c r="D52" s="136">
        <v>2</v>
      </c>
      <c r="E52" s="140">
        <f>E51+1</f>
        <v>62</v>
      </c>
      <c r="F52" s="146" t="str">
        <f>VLOOKUP(E52,'[1]Высшая Лига'!$D:$M,3,FALSE)</f>
        <v xml:space="preserve"> Чернокнижников Александр Максимович</v>
      </c>
      <c r="G52" s="141" t="str">
        <f>VLOOKUP(E52,'[1]Высшая Лига'!$D:$M,4,FALSE)</f>
        <v>2005</v>
      </c>
      <c r="H52" s="146" t="str">
        <f>VLOOKUP(E52,'[1]Высшая Лига'!$D:$M,5,FALSE)</f>
        <v xml:space="preserve"> Липецк</v>
      </c>
      <c r="I52" s="142">
        <f>VLOOKUP(E52,'[1]Высшая Лига'!$D:$M,6,FALSE)</f>
        <v>828.36</v>
      </c>
      <c r="J52" s="340"/>
      <c r="K52" s="341"/>
      <c r="L52" s="2">
        <f>_xlfn.RANK.EQ(I52,I51:I58)</f>
        <v>2</v>
      </c>
      <c r="M52" s="3"/>
      <c r="P52"/>
      <c r="Q52"/>
      <c r="R52"/>
      <c r="S52"/>
      <c r="T52"/>
      <c r="U52"/>
      <c r="V52"/>
    </row>
    <row r="53" spans="2:22" ht="15.75" customHeight="1" x14ac:dyDescent="0.25">
      <c r="B53" s="335"/>
      <c r="C53" s="338"/>
      <c r="D53" s="136">
        <v>3</v>
      </c>
      <c r="E53" s="140">
        <f t="shared" ref="E53:E58" si="6">E52+1</f>
        <v>63</v>
      </c>
      <c r="F53" s="146" t="str">
        <f>VLOOKUP(E53,'[1]Высшая Лига'!$D:$M,3,FALSE)</f>
        <v xml:space="preserve"> Шило Алексей Вячеславович</v>
      </c>
      <c r="G53" s="141" t="str">
        <f>VLOOKUP(E53,'[1]Высшая Лига'!$D:$M,4,FALSE)</f>
        <v>1987</v>
      </c>
      <c r="H53" s="146" t="str">
        <f>VLOOKUP(E53,'[1]Высшая Лига'!$D:$M,5,FALSE)</f>
        <v xml:space="preserve"> Симферополь</v>
      </c>
      <c r="I53" s="142">
        <f>VLOOKUP(E53,'[1]Высшая Лига'!$D:$M,6,FALSE)</f>
        <v>700.65</v>
      </c>
      <c r="J53" s="340"/>
      <c r="K53" s="341"/>
      <c r="L53" s="2">
        <f>_xlfn.RANK.EQ(I53,I51:I58)</f>
        <v>3</v>
      </c>
      <c r="P53"/>
      <c r="Q53"/>
      <c r="R53"/>
      <c r="S53"/>
      <c r="T53"/>
      <c r="U53"/>
      <c r="V53"/>
    </row>
    <row r="54" spans="2:22" ht="15.75" customHeight="1" x14ac:dyDescent="0.25">
      <c r="B54" s="335"/>
      <c r="C54" s="338"/>
      <c r="D54" s="136">
        <v>4</v>
      </c>
      <c r="E54" s="140">
        <f t="shared" si="6"/>
        <v>64</v>
      </c>
      <c r="F54" s="146" t="str">
        <f>VLOOKUP(E54,'[1]Высшая Лига'!$D:$M,3,FALSE)</f>
        <v xml:space="preserve"> Овчаренко Игорь Викторович</v>
      </c>
      <c r="G54" s="141" t="str">
        <f>VLOOKUP(E54,'[1]Высшая Лига'!$D:$M,4,FALSE)</f>
        <v>1969</v>
      </c>
      <c r="H54" s="146" t="str">
        <f>VLOOKUP(E54,'[1]Высшая Лига'!$D:$M,5,FALSE)</f>
        <v xml:space="preserve"> Симферополь</v>
      </c>
      <c r="I54" s="142">
        <f>VLOOKUP(E54,'[1]Высшая Лига'!$D:$M,6,FALSE)</f>
        <v>664.39</v>
      </c>
      <c r="J54" s="340"/>
      <c r="K54" s="341"/>
      <c r="L54" s="2">
        <f>_xlfn.RANK.EQ(I54,I51:I58)</f>
        <v>4</v>
      </c>
      <c r="P54"/>
      <c r="Q54"/>
      <c r="R54"/>
      <c r="S54"/>
      <c r="T54"/>
      <c r="U54"/>
      <c r="V54"/>
    </row>
    <row r="55" spans="2:22" ht="15.75" customHeight="1" x14ac:dyDescent="0.25">
      <c r="B55" s="335"/>
      <c r="C55" s="338"/>
      <c r="D55" s="139">
        <v>5</v>
      </c>
      <c r="E55" s="140">
        <f t="shared" si="6"/>
        <v>65</v>
      </c>
      <c r="F55" s="146" t="str">
        <f>VLOOKUP(E55,'[1]Высшая Лига'!$D:$M,3,FALSE)</f>
        <v xml:space="preserve"> Королев Роман Сергеевич</v>
      </c>
      <c r="G55" s="141" t="str">
        <f>VLOOKUP(E55,'[1]Высшая Лига'!$D:$M,4,FALSE)</f>
        <v>1992</v>
      </c>
      <c r="H55" s="146" t="str">
        <f>VLOOKUP(E55,'[1]Высшая Лига'!$D:$M,5,FALSE)</f>
        <v xml:space="preserve"> Евпатория</v>
      </c>
      <c r="I55" s="142">
        <f>VLOOKUP(E55,'[1]Высшая Лига'!$D:$M,6,FALSE)</f>
        <v>661.79</v>
      </c>
      <c r="J55" s="340"/>
      <c r="K55" s="341"/>
      <c r="L55" s="2">
        <f>_xlfn.RANK.EQ(I55,I51:I58)</f>
        <v>5</v>
      </c>
      <c r="P55"/>
      <c r="Q55"/>
      <c r="R55"/>
      <c r="S55"/>
      <c r="T55"/>
      <c r="U55"/>
      <c r="V55"/>
    </row>
    <row r="56" spans="2:22" ht="15.75" customHeight="1" x14ac:dyDescent="0.25">
      <c r="B56" s="335"/>
      <c r="C56" s="338"/>
      <c r="D56" s="139">
        <v>6</v>
      </c>
      <c r="E56" s="140">
        <f t="shared" si="6"/>
        <v>66</v>
      </c>
      <c r="F56" s="146" t="str">
        <f>VLOOKUP(E56,'[1]Высшая Лига'!$D:$M,3,FALSE)</f>
        <v xml:space="preserve"> Горелкин Анатолий Николаевич</v>
      </c>
      <c r="G56" s="141" t="str">
        <f>VLOOKUP(E56,'[1]Высшая Лига'!$D:$M,4,FALSE)</f>
        <v>1983</v>
      </c>
      <c r="H56" s="146" t="str">
        <f>VLOOKUP(E56,'[1]Высшая Лига'!$D:$M,5,FALSE)</f>
        <v xml:space="preserve"> Симферополь</v>
      </c>
      <c r="I56" s="142">
        <f>VLOOKUP(E56,'[1]Высшая Лига'!$D:$M,6,FALSE)</f>
        <v>620.25</v>
      </c>
      <c r="J56" s="340"/>
      <c r="K56" s="341"/>
      <c r="L56" s="2">
        <f>_xlfn.RANK.EQ(I56,I51:I58)</f>
        <v>6</v>
      </c>
      <c r="P56"/>
      <c r="Q56"/>
      <c r="R56"/>
      <c r="S56"/>
      <c r="T56"/>
      <c r="U56"/>
      <c r="V56"/>
    </row>
    <row r="57" spans="2:22" ht="15.75" customHeight="1" outlineLevel="1" x14ac:dyDescent="0.25">
      <c r="B57" s="335"/>
      <c r="C57" s="338"/>
      <c r="D57" s="139">
        <v>7</v>
      </c>
      <c r="E57" s="140">
        <f t="shared" si="6"/>
        <v>67</v>
      </c>
      <c r="F57" s="146" t="str">
        <f>VLOOKUP(E57,'[1]Высшая Лига'!$D:$M,3,FALSE)</f>
        <v xml:space="preserve"> Осипов Владимир Владимирович</v>
      </c>
      <c r="G57" s="141" t="str">
        <f>VLOOKUP(E57,'[1]Высшая Лига'!$D:$M,4,FALSE)</f>
        <v>1988</v>
      </c>
      <c r="H57" s="146" t="str">
        <f>VLOOKUP(E57,'[1]Высшая Лига'!$D:$M,5,FALSE)</f>
        <v xml:space="preserve"> Ялта</v>
      </c>
      <c r="I57" s="142">
        <f>VLOOKUP(E57,'[1]Высшая Лига'!$D:$M,6,FALSE)</f>
        <v>592.82000000000005</v>
      </c>
      <c r="J57" s="340"/>
      <c r="K57" s="341"/>
      <c r="L57" s="2">
        <f>_xlfn.RANK.EQ(I57,I51:I58)</f>
        <v>7</v>
      </c>
      <c r="P57"/>
      <c r="Q57"/>
      <c r="R57"/>
      <c r="S57"/>
      <c r="T57"/>
      <c r="U57"/>
      <c r="V57"/>
    </row>
    <row r="58" spans="2:22" ht="15.75" customHeight="1" outlineLevel="1" x14ac:dyDescent="0.25">
      <c r="B58" s="335"/>
      <c r="C58" s="338"/>
      <c r="D58" s="139">
        <v>8</v>
      </c>
      <c r="E58" s="140">
        <f t="shared" si="6"/>
        <v>68</v>
      </c>
      <c r="F58" s="146" t="str">
        <f>VLOOKUP(E58,'[1]Высшая Лига'!$D:$M,3,FALSE)</f>
        <v xml:space="preserve"> Митин Павел Вадимович</v>
      </c>
      <c r="G58" s="141" t="str">
        <f>VLOOKUP(E58,'[1]Высшая Лига'!$D:$M,4,FALSE)</f>
        <v>1982</v>
      </c>
      <c r="H58" s="146" t="str">
        <f>VLOOKUP(E58,'[1]Высшая Лига'!$D:$M,5,FALSE)</f>
        <v xml:space="preserve"> Симферополь</v>
      </c>
      <c r="I58" s="142">
        <f>VLOOKUP(E58,'[1]Высшая Лига'!$D:$M,6,FALSE)</f>
        <v>528.39</v>
      </c>
      <c r="J58" s="340"/>
      <c r="K58" s="341"/>
      <c r="L58" s="2">
        <f>_xlfn.RANK.EQ(I58,I51:I58)</f>
        <v>8</v>
      </c>
      <c r="P58"/>
      <c r="Q58"/>
      <c r="R58"/>
      <c r="S58"/>
      <c r="T58"/>
      <c r="U58"/>
      <c r="V58"/>
    </row>
    <row r="59" spans="2:22" ht="15.75" customHeight="1" x14ac:dyDescent="0.25">
      <c r="B59" s="336"/>
      <c r="C59" s="339"/>
      <c r="D59" s="342" t="str">
        <f>INDEX('[1]Высшая Лига'!$A$5:$J$94,B51*9+1,3)</f>
        <v>Тренер: Свистунов А.Н.</v>
      </c>
      <c r="E59" s="342"/>
      <c r="F59" s="342"/>
      <c r="G59" s="342"/>
      <c r="H59" s="342"/>
      <c r="I59" s="342"/>
      <c r="J59" s="340"/>
      <c r="K59" s="341"/>
      <c r="P59"/>
      <c r="Q59"/>
      <c r="R59"/>
      <c r="S59"/>
      <c r="T59"/>
      <c r="U59"/>
      <c r="V59"/>
    </row>
    <row r="60" spans="2:22" ht="15.75" customHeight="1" x14ac:dyDescent="0.25">
      <c r="B60" s="346">
        <v>7</v>
      </c>
      <c r="C60" s="337" t="str">
        <f>VLOOKUP(B60,'[1]Высшая Лига'!$A:$J,2,FALSE)</f>
        <v>«Спортшкола» г. Ялта</v>
      </c>
      <c r="D60" s="195">
        <v>1</v>
      </c>
      <c r="E60" s="197">
        <f>B60*10+1</f>
        <v>71</v>
      </c>
      <c r="F60" s="198" t="str">
        <f>VLOOKUP(E60,'[1]Высшая Лига'!$D:$M,3,FALSE)</f>
        <v xml:space="preserve"> Маслий Дмитрий Владимирович</v>
      </c>
      <c r="G60" s="199" t="str">
        <f>VLOOKUP(E60,'[1]Высшая Лига'!$D:$M,4,FALSE)</f>
        <v>2000</v>
      </c>
      <c r="H60" s="198" t="str">
        <f>VLOOKUP(E60,'[1]Высшая Лига'!$D:$M,5,FALSE)</f>
        <v xml:space="preserve"> Симферополь</v>
      </c>
      <c r="I60" s="194">
        <f>VLOOKUP(E60,'[1]Высшая Лига'!$D:$M,6,FALSE)</f>
        <v>758.7</v>
      </c>
      <c r="J60" s="340">
        <f>SUMIF(L60:L67,"&lt;4",I60:I67)</f>
        <v>2022.7200000000003</v>
      </c>
      <c r="K60" s="341">
        <f>_xlfn.RANK.EQ(J60,$J$6:$J$95)</f>
        <v>7</v>
      </c>
      <c r="L60" s="2">
        <f>_xlfn.RANK.EQ(I60,I60:I67)</f>
        <v>1</v>
      </c>
      <c r="M60" s="2" t="s">
        <v>141</v>
      </c>
      <c r="N60" s="196" t="s">
        <v>134</v>
      </c>
      <c r="P60"/>
      <c r="Q60"/>
      <c r="R60"/>
      <c r="S60"/>
      <c r="T60"/>
      <c r="U60"/>
      <c r="V60"/>
    </row>
    <row r="61" spans="2:22" ht="15.75" customHeight="1" x14ac:dyDescent="0.25">
      <c r="B61" s="347"/>
      <c r="C61" s="338"/>
      <c r="D61" s="195">
        <v>2</v>
      </c>
      <c r="E61" s="197">
        <f>E60+1</f>
        <v>72</v>
      </c>
      <c r="F61" s="198" t="str">
        <f>VLOOKUP(E61,'[1]Высшая Лига'!$D:$M,3,FALSE)</f>
        <v xml:space="preserve"> Худенко Александр Сергеевич</v>
      </c>
      <c r="G61" s="199" t="str">
        <f>VLOOKUP(E61,'[1]Высшая Лига'!$D:$M,4,FALSE)</f>
        <v>1992</v>
      </c>
      <c r="H61" s="198" t="str">
        <f>VLOOKUP(E61,'[1]Высшая Лига'!$D:$M,5,FALSE)</f>
        <v xml:space="preserve"> Херсон</v>
      </c>
      <c r="I61" s="194">
        <f>VLOOKUP(E61,'[1]Высшая Лига'!$D:$M,6,FALSE)</f>
        <v>649.44000000000005</v>
      </c>
      <c r="J61" s="340"/>
      <c r="K61" s="341"/>
      <c r="L61" s="2">
        <f>_xlfn.RANK.EQ(I61,I60:I67)</f>
        <v>2</v>
      </c>
      <c r="P61"/>
      <c r="Q61"/>
      <c r="R61"/>
      <c r="S61"/>
      <c r="T61"/>
      <c r="U61"/>
      <c r="V61"/>
    </row>
    <row r="62" spans="2:22" ht="15.75" customHeight="1" x14ac:dyDescent="0.25">
      <c r="B62" s="347"/>
      <c r="C62" s="338"/>
      <c r="D62" s="195">
        <v>3</v>
      </c>
      <c r="E62" s="197">
        <f t="shared" ref="E62:E67" si="7">E61+1</f>
        <v>73</v>
      </c>
      <c r="F62" s="198" t="str">
        <f>VLOOKUP(E62,'[1]Высшая Лига'!$D:$M,3,FALSE)</f>
        <v xml:space="preserve"> Размысловский Павел Алексеевич</v>
      </c>
      <c r="G62" s="199" t="str">
        <f>VLOOKUP(E62,'[1]Высшая Лига'!$D:$M,4,FALSE)</f>
        <v>2004</v>
      </c>
      <c r="H62" s="198" t="str">
        <f>VLOOKUP(E62,'[1]Высшая Лига'!$D:$M,5,FALSE)</f>
        <v xml:space="preserve"> Ялта</v>
      </c>
      <c r="I62" s="194">
        <f>VLOOKUP(E62,'[1]Высшая Лига'!$D:$M,6,FALSE)</f>
        <v>614.58000000000004</v>
      </c>
      <c r="J62" s="340"/>
      <c r="K62" s="341"/>
      <c r="L62" s="2">
        <f>_xlfn.RANK.EQ(I62,I60:I67)</f>
        <v>3</v>
      </c>
      <c r="P62"/>
      <c r="Q62"/>
      <c r="R62"/>
      <c r="S62"/>
      <c r="T62"/>
      <c r="U62"/>
      <c r="V62"/>
    </row>
    <row r="63" spans="2:22" ht="15.75" customHeight="1" outlineLevel="1" x14ac:dyDescent="0.25">
      <c r="B63" s="347"/>
      <c r="C63" s="338"/>
      <c r="D63" s="195">
        <v>4</v>
      </c>
      <c r="E63" s="197">
        <f t="shared" si="7"/>
        <v>74</v>
      </c>
      <c r="F63" s="198" t="str">
        <f>VLOOKUP(E63,'[1]Высшая Лига'!$D:$M,3,FALSE)</f>
        <v xml:space="preserve"> Иванов Константин Николаевич</v>
      </c>
      <c r="G63" s="199" t="str">
        <f>VLOOKUP(E63,'[1]Высшая Лига'!$D:$M,4,FALSE)</f>
        <v>1999</v>
      </c>
      <c r="H63" s="198" t="str">
        <f>VLOOKUP(E63,'[1]Высшая Лига'!$D:$M,5,FALSE)</f>
        <v xml:space="preserve"> Ялта</v>
      </c>
      <c r="I63" s="194">
        <f>VLOOKUP(E63,'[1]Высшая Лига'!$D:$M,6,FALSE)</f>
        <v>605.73</v>
      </c>
      <c r="J63" s="340"/>
      <c r="K63" s="341"/>
      <c r="L63" s="2">
        <f>_xlfn.RANK.EQ(I63,I60:I67)</f>
        <v>4</v>
      </c>
      <c r="P63"/>
      <c r="Q63"/>
      <c r="R63"/>
      <c r="S63"/>
      <c r="T63"/>
      <c r="U63"/>
      <c r="V63"/>
    </row>
    <row r="64" spans="2:22" ht="15.75" customHeight="1" outlineLevel="1" x14ac:dyDescent="0.25">
      <c r="B64" s="347"/>
      <c r="C64" s="338"/>
      <c r="D64" s="195">
        <v>5</v>
      </c>
      <c r="E64" s="197">
        <f t="shared" si="7"/>
        <v>75</v>
      </c>
      <c r="F64" s="198" t="str">
        <f>VLOOKUP(E64,'[1]Высшая Лига'!$D:$M,3,FALSE)</f>
        <v xml:space="preserve"> Поляков Дмитрий Игоревич</v>
      </c>
      <c r="G64" s="199" t="str">
        <f>VLOOKUP(E64,'[1]Высшая Лига'!$D:$M,4,FALSE)</f>
        <v>2004</v>
      </c>
      <c r="H64" s="198" t="str">
        <f>VLOOKUP(E64,'[1]Высшая Лига'!$D:$M,5,FALSE)</f>
        <v xml:space="preserve"> Ялта</v>
      </c>
      <c r="I64" s="194">
        <f>VLOOKUP(E64,'[1]Высшая Лига'!$D:$M,6,FALSE)</f>
        <v>579.76</v>
      </c>
      <c r="J64" s="340"/>
      <c r="K64" s="341"/>
      <c r="L64" s="2">
        <f>_xlfn.RANK.EQ(I64,I60:I67)</f>
        <v>5</v>
      </c>
      <c r="P64"/>
      <c r="Q64"/>
      <c r="R64"/>
      <c r="S64"/>
      <c r="T64"/>
      <c r="U64"/>
      <c r="V64"/>
    </row>
    <row r="65" spans="2:22" ht="15.75" customHeight="1" outlineLevel="1" x14ac:dyDescent="0.25">
      <c r="B65" s="347"/>
      <c r="C65" s="338"/>
      <c r="D65" s="195">
        <v>6</v>
      </c>
      <c r="E65" s="197">
        <f t="shared" si="7"/>
        <v>76</v>
      </c>
      <c r="F65" s="198" t="str">
        <f>VLOOKUP(E65,'[1]Высшая Лига'!$D:$M,3,FALSE)</f>
        <v xml:space="preserve"> Гузенко Глеб Русланович</v>
      </c>
      <c r="G65" s="199" t="str">
        <f>VLOOKUP(E65,'[1]Высшая Лига'!$D:$M,4,FALSE)</f>
        <v>2004</v>
      </c>
      <c r="H65" s="198" t="str">
        <f>VLOOKUP(E65,'[1]Высшая Лига'!$D:$M,5,FALSE)</f>
        <v xml:space="preserve"> Ялта</v>
      </c>
      <c r="I65" s="194">
        <f>VLOOKUP(E65,'[1]Высшая Лига'!$D:$M,6,FALSE)</f>
        <v>485.21</v>
      </c>
      <c r="J65" s="340"/>
      <c r="K65" s="341"/>
      <c r="L65" s="2">
        <f>_xlfn.RANK.EQ(I65,I60:I67)</f>
        <v>6</v>
      </c>
      <c r="P65"/>
      <c r="Q65"/>
      <c r="R65"/>
      <c r="S65"/>
      <c r="T65"/>
      <c r="U65"/>
      <c r="V65"/>
    </row>
    <row r="66" spans="2:22" ht="15.75" hidden="1" customHeight="1" outlineLevel="1" x14ac:dyDescent="0.25">
      <c r="B66" s="347"/>
      <c r="C66" s="338"/>
      <c r="D66" s="195">
        <v>7</v>
      </c>
      <c r="E66" s="197">
        <f t="shared" si="7"/>
        <v>77</v>
      </c>
      <c r="F66" s="198" t="str">
        <f>VLOOKUP(E66,'[1]Высшая Лига'!$D:$M,3,FALSE)</f>
        <v>-</v>
      </c>
      <c r="G66" s="199" t="str">
        <f>VLOOKUP(E66,'[1]Высшая Лига'!$D:$M,4,FALSE)</f>
        <v>-</v>
      </c>
      <c r="H66" s="198" t="str">
        <f>VLOOKUP(E66,'[1]Высшая Лига'!$D:$M,5,FALSE)</f>
        <v>-</v>
      </c>
      <c r="I66" s="194" t="str">
        <f>VLOOKUP(E66,'[1]Высшая Лига'!$D:$M,6,FALSE)</f>
        <v>-</v>
      </c>
      <c r="J66" s="340"/>
      <c r="K66" s="341"/>
      <c r="L66" s="2" t="e">
        <f>_xlfn.RANK.EQ(I66,I60:I67)</f>
        <v>#VALUE!</v>
      </c>
      <c r="P66"/>
      <c r="Q66"/>
      <c r="R66"/>
      <c r="S66"/>
      <c r="T66"/>
      <c r="U66"/>
      <c r="V66"/>
    </row>
    <row r="67" spans="2:22" ht="15.75" hidden="1" customHeight="1" outlineLevel="1" x14ac:dyDescent="0.25">
      <c r="B67" s="347"/>
      <c r="C67" s="338"/>
      <c r="D67" s="195">
        <v>8</v>
      </c>
      <c r="E67" s="197">
        <f t="shared" si="7"/>
        <v>78</v>
      </c>
      <c r="F67" s="198" t="str">
        <f>VLOOKUP(E67,'[1]Высшая Лига'!$D:$M,3,FALSE)</f>
        <v>-</v>
      </c>
      <c r="G67" s="199" t="str">
        <f>VLOOKUP(E67,'[1]Высшая Лига'!$D:$M,4,FALSE)</f>
        <v>-</v>
      </c>
      <c r="H67" s="198" t="str">
        <f>VLOOKUP(E67,'[1]Высшая Лига'!$D:$M,5,FALSE)</f>
        <v>-</v>
      </c>
      <c r="I67" s="194" t="str">
        <f>VLOOKUP(E67,'[1]Высшая Лига'!$D:$M,6,FALSE)</f>
        <v>-</v>
      </c>
      <c r="J67" s="340"/>
      <c r="K67" s="341"/>
      <c r="L67" s="2" t="e">
        <f>_xlfn.RANK.EQ(I67,I60:I67)</f>
        <v>#VALUE!</v>
      </c>
      <c r="P67"/>
      <c r="Q67"/>
      <c r="R67"/>
      <c r="S67"/>
      <c r="T67"/>
      <c r="U67"/>
      <c r="V67"/>
    </row>
    <row r="68" spans="2:22" ht="15.75" customHeight="1" collapsed="1" x14ac:dyDescent="0.25">
      <c r="B68" s="348"/>
      <c r="C68" s="339"/>
      <c r="D68" s="342" t="str">
        <f>INDEX('[1]Высшая Лига'!$A$5:$J$94,B60*9+1,3)</f>
        <v>Тренер: Прима В.А.</v>
      </c>
      <c r="E68" s="342"/>
      <c r="F68" s="342"/>
      <c r="G68" s="342"/>
      <c r="H68" s="342"/>
      <c r="I68" s="342"/>
      <c r="J68" s="340"/>
      <c r="K68" s="341"/>
      <c r="P68"/>
      <c r="Q68"/>
      <c r="R68"/>
      <c r="S68"/>
      <c r="T68"/>
      <c r="U68"/>
      <c r="V68"/>
    </row>
    <row r="69" spans="2:22" ht="15.75" customHeight="1" x14ac:dyDescent="0.25">
      <c r="B69" s="334">
        <v>8</v>
      </c>
      <c r="C69" s="337" t="str">
        <f>VLOOKUP(B69,'[1]Высшая Лига'!$A:$J,2,FALSE)</f>
        <v>«Спортшкола №3(1)» г.Симферополь</v>
      </c>
      <c r="D69" s="139">
        <v>1</v>
      </c>
      <c r="E69" s="140">
        <f>B69*10+1</f>
        <v>81</v>
      </c>
      <c r="F69" s="146" t="str">
        <f>VLOOKUP(E69,'[1]Высшая Лига'!$D:$M,3,FALSE)</f>
        <v xml:space="preserve"> Пыльник Данил Александрович</v>
      </c>
      <c r="G69" s="141" t="str">
        <f>VLOOKUP(E69,'[1]Высшая Лига'!$D:$M,4,FALSE)</f>
        <v>2005</v>
      </c>
      <c r="H69" s="146" t="str">
        <f>VLOOKUP(E69,'[1]Высшая Лига'!$D:$M,5,FALSE)</f>
        <v xml:space="preserve"> Симферополь</v>
      </c>
      <c r="I69" s="142">
        <f>VLOOKUP(E69,'[1]Высшая Лига'!$D:$M,6,FALSE)</f>
        <v>718.62</v>
      </c>
      <c r="J69" s="340">
        <f>SUMIF(L69:L76,"&lt;4",I69:I76)</f>
        <v>1951.48</v>
      </c>
      <c r="K69" s="341">
        <f>_xlfn.RANK.EQ(J69,$J$6:$J$95)</f>
        <v>9</v>
      </c>
      <c r="L69" s="2">
        <f>_xlfn.RANK.EQ(I69,I69:I76)</f>
        <v>1</v>
      </c>
      <c r="M69" s="2" t="s">
        <v>143</v>
      </c>
      <c r="N69" s="196" t="s">
        <v>133</v>
      </c>
      <c r="P69"/>
      <c r="Q69"/>
      <c r="R69"/>
      <c r="S69"/>
      <c r="T69"/>
      <c r="U69"/>
      <c r="V69"/>
    </row>
    <row r="70" spans="2:22" ht="15.75" customHeight="1" x14ac:dyDescent="0.25">
      <c r="B70" s="335"/>
      <c r="C70" s="338"/>
      <c r="D70" s="139">
        <v>2</v>
      </c>
      <c r="E70" s="140">
        <f>E69+1</f>
        <v>82</v>
      </c>
      <c r="F70" s="146" t="str">
        <f>VLOOKUP(E70,'[1]Высшая Лига'!$D:$M,3,FALSE)</f>
        <v xml:space="preserve"> Орбакас Антон Эдуардесович</v>
      </c>
      <c r="G70" s="141" t="str">
        <f>VLOOKUP(E70,'[1]Высшая Лига'!$D:$M,4,FALSE)</f>
        <v>1989</v>
      </c>
      <c r="H70" s="146" t="str">
        <f>VLOOKUP(E70,'[1]Высшая Лига'!$D:$M,5,FALSE)</f>
        <v xml:space="preserve"> Симферополь</v>
      </c>
      <c r="I70" s="142">
        <f>VLOOKUP(E70,'[1]Высшая Лига'!$D:$M,6,FALSE)</f>
        <v>681.98</v>
      </c>
      <c r="J70" s="340"/>
      <c r="K70" s="341"/>
      <c r="L70" s="2">
        <f>_xlfn.RANK.EQ(I70,I69:I76)</f>
        <v>2</v>
      </c>
      <c r="P70"/>
      <c r="Q70"/>
      <c r="R70"/>
      <c r="S70"/>
      <c r="T70"/>
      <c r="U70"/>
      <c r="V70"/>
    </row>
    <row r="71" spans="2:22" ht="15.75" customHeight="1" x14ac:dyDescent="0.25">
      <c r="B71" s="335"/>
      <c r="C71" s="338"/>
      <c r="D71" s="139">
        <v>3</v>
      </c>
      <c r="E71" s="140">
        <f t="shared" ref="E71:E76" si="8">E70+1</f>
        <v>83</v>
      </c>
      <c r="F71" s="146" t="str">
        <f>VLOOKUP(E71,'[1]Высшая Лига'!$D:$M,3,FALSE)</f>
        <v xml:space="preserve"> Лойко Максим Александрович</v>
      </c>
      <c r="G71" s="141" t="str">
        <f>VLOOKUP(E71,'[1]Высшая Лига'!$D:$M,4,FALSE)</f>
        <v>2010</v>
      </c>
      <c r="H71" s="146" t="str">
        <f>VLOOKUP(E71,'[1]Высшая Лига'!$D:$M,5,FALSE)</f>
        <v xml:space="preserve"> Симферополь</v>
      </c>
      <c r="I71" s="142">
        <f>VLOOKUP(E71,'[1]Высшая Лига'!$D:$M,6,FALSE)</f>
        <v>550.88</v>
      </c>
      <c r="J71" s="340"/>
      <c r="K71" s="341"/>
      <c r="L71" s="2">
        <f>_xlfn.RANK.EQ(I71,I69:I76)</f>
        <v>3</v>
      </c>
      <c r="P71"/>
      <c r="Q71"/>
      <c r="R71"/>
      <c r="S71"/>
      <c r="T71"/>
      <c r="U71"/>
      <c r="V71"/>
    </row>
    <row r="72" spans="2:22" ht="15.75" hidden="1" customHeight="1" x14ac:dyDescent="0.25">
      <c r="B72" s="335"/>
      <c r="C72" s="338"/>
      <c r="D72" s="139">
        <v>4</v>
      </c>
      <c r="E72" s="140">
        <f t="shared" si="8"/>
        <v>84</v>
      </c>
      <c r="F72" s="146" t="str">
        <f>VLOOKUP(E72,'[1]Высшая Лига'!$D:$M,3,FALSE)</f>
        <v>-</v>
      </c>
      <c r="G72" s="141" t="str">
        <f>VLOOKUP(E72,'[1]Высшая Лига'!$D:$M,4,FALSE)</f>
        <v>-</v>
      </c>
      <c r="H72" s="146" t="str">
        <f>VLOOKUP(E72,'[1]Высшая Лига'!$D:$M,5,FALSE)</f>
        <v>-</v>
      </c>
      <c r="I72" s="142" t="str">
        <f>VLOOKUP(E72,'[1]Высшая Лига'!$D:$M,6,FALSE)</f>
        <v>-</v>
      </c>
      <c r="J72" s="340"/>
      <c r="K72" s="341"/>
      <c r="L72" s="2" t="e">
        <f>_xlfn.RANK.EQ(I72,I69:I76)</f>
        <v>#VALUE!</v>
      </c>
      <c r="P72"/>
      <c r="Q72"/>
      <c r="R72"/>
      <c r="S72"/>
      <c r="T72"/>
      <c r="U72"/>
      <c r="V72"/>
    </row>
    <row r="73" spans="2:22" ht="15.75" hidden="1" customHeight="1" x14ac:dyDescent="0.25">
      <c r="B73" s="335"/>
      <c r="C73" s="338"/>
      <c r="D73" s="139">
        <v>5</v>
      </c>
      <c r="E73" s="140">
        <f t="shared" si="8"/>
        <v>85</v>
      </c>
      <c r="F73" s="146" t="str">
        <f>VLOOKUP(E73,'[1]Высшая Лига'!$D:$M,3,FALSE)</f>
        <v>-</v>
      </c>
      <c r="G73" s="141" t="str">
        <f>VLOOKUP(E73,'[1]Высшая Лига'!$D:$M,4,FALSE)</f>
        <v>-</v>
      </c>
      <c r="H73" s="146" t="str">
        <f>VLOOKUP(E73,'[1]Высшая Лига'!$D:$M,5,FALSE)</f>
        <v>-</v>
      </c>
      <c r="I73" s="142" t="str">
        <f>VLOOKUP(E73,'[1]Высшая Лига'!$D:$M,6,FALSE)</f>
        <v>-</v>
      </c>
      <c r="J73" s="340"/>
      <c r="K73" s="341"/>
      <c r="L73" s="2" t="e">
        <f>_xlfn.RANK.EQ(I73,I69:I76)</f>
        <v>#VALUE!</v>
      </c>
      <c r="P73"/>
      <c r="Q73"/>
      <c r="R73"/>
      <c r="S73"/>
      <c r="T73"/>
      <c r="U73"/>
      <c r="V73"/>
    </row>
    <row r="74" spans="2:22" ht="15.75" hidden="1" customHeight="1" x14ac:dyDescent="0.25">
      <c r="B74" s="335"/>
      <c r="C74" s="338"/>
      <c r="D74" s="139">
        <v>6</v>
      </c>
      <c r="E74" s="140">
        <f t="shared" si="8"/>
        <v>86</v>
      </c>
      <c r="F74" s="146" t="str">
        <f>VLOOKUP(E74,'[1]Высшая Лига'!$D:$M,3,FALSE)</f>
        <v>-</v>
      </c>
      <c r="G74" s="141" t="str">
        <f>VLOOKUP(E74,'[1]Высшая Лига'!$D:$M,4,FALSE)</f>
        <v>-</v>
      </c>
      <c r="H74" s="146" t="str">
        <f>VLOOKUP(E74,'[1]Высшая Лига'!$D:$M,5,FALSE)</f>
        <v>-</v>
      </c>
      <c r="I74" s="142" t="str">
        <f>VLOOKUP(E74,'[1]Высшая Лига'!$D:$M,6,FALSE)</f>
        <v>-</v>
      </c>
      <c r="J74" s="340"/>
      <c r="K74" s="341"/>
      <c r="L74" s="2" t="e">
        <f>_xlfn.RANK.EQ(I74,I69:I76)</f>
        <v>#VALUE!</v>
      </c>
      <c r="P74"/>
      <c r="Q74"/>
      <c r="R74"/>
      <c r="S74"/>
      <c r="T74"/>
      <c r="U74"/>
      <c r="V74"/>
    </row>
    <row r="75" spans="2:22" ht="15.75" hidden="1" customHeight="1" outlineLevel="1" x14ac:dyDescent="0.25">
      <c r="B75" s="335"/>
      <c r="C75" s="338"/>
      <c r="D75" s="139">
        <v>7</v>
      </c>
      <c r="E75" s="140">
        <f t="shared" si="8"/>
        <v>87</v>
      </c>
      <c r="F75" s="146" t="str">
        <f>VLOOKUP(E75,'[1]Высшая Лига'!$D:$M,3,FALSE)</f>
        <v>-</v>
      </c>
      <c r="G75" s="141" t="str">
        <f>VLOOKUP(E75,'[1]Высшая Лига'!$D:$M,4,FALSE)</f>
        <v>-</v>
      </c>
      <c r="H75" s="146" t="str">
        <f>VLOOKUP(E75,'[1]Высшая Лига'!$D:$M,5,FALSE)</f>
        <v>-</v>
      </c>
      <c r="I75" s="142" t="str">
        <f>VLOOKUP(E75,'[1]Высшая Лига'!$D:$M,6,FALSE)</f>
        <v>-</v>
      </c>
      <c r="J75" s="340"/>
      <c r="K75" s="341"/>
      <c r="L75" s="2" t="e">
        <f>_xlfn.RANK.EQ(I75,I69:I76)</f>
        <v>#VALUE!</v>
      </c>
      <c r="P75"/>
      <c r="Q75"/>
      <c r="R75"/>
      <c r="S75"/>
      <c r="T75"/>
      <c r="U75"/>
      <c r="V75"/>
    </row>
    <row r="76" spans="2:22" ht="15.75" hidden="1" customHeight="1" outlineLevel="1" x14ac:dyDescent="0.25">
      <c r="B76" s="335"/>
      <c r="C76" s="338"/>
      <c r="D76" s="139">
        <v>8</v>
      </c>
      <c r="E76" s="140">
        <f t="shared" si="8"/>
        <v>88</v>
      </c>
      <c r="F76" s="146" t="str">
        <f>VLOOKUP(E76,'[1]Высшая Лига'!$D:$M,3,FALSE)</f>
        <v>-</v>
      </c>
      <c r="G76" s="141" t="str">
        <f>VLOOKUP(E76,'[1]Высшая Лига'!$D:$M,4,FALSE)</f>
        <v>-</v>
      </c>
      <c r="H76" s="146" t="str">
        <f>VLOOKUP(E76,'[1]Высшая Лига'!$D:$M,5,FALSE)</f>
        <v>-</v>
      </c>
      <c r="I76" s="142" t="str">
        <f>VLOOKUP(E76,'[1]Высшая Лига'!$D:$M,6,FALSE)</f>
        <v>-</v>
      </c>
      <c r="J76" s="340"/>
      <c r="K76" s="341"/>
      <c r="L76" s="2" t="e">
        <f>_xlfn.RANK.EQ(I76,I69:I76)</f>
        <v>#VALUE!</v>
      </c>
      <c r="P76"/>
      <c r="Q76"/>
      <c r="R76"/>
      <c r="S76"/>
      <c r="T76"/>
      <c r="U76"/>
      <c r="V76"/>
    </row>
    <row r="77" spans="2:22" ht="15.75" customHeight="1" collapsed="1" x14ac:dyDescent="0.25">
      <c r="B77" s="336"/>
      <c r="C77" s="339"/>
      <c r="D77" s="342" t="str">
        <f>INDEX('[1]Высшая Лига'!$A$5:$J$94,B69*9+1,3)</f>
        <v>Тренер: Филатов Д.В.</v>
      </c>
      <c r="E77" s="342"/>
      <c r="F77" s="342"/>
      <c r="G77" s="342"/>
      <c r="H77" s="342"/>
      <c r="I77" s="342"/>
      <c r="J77" s="340"/>
      <c r="K77" s="341"/>
      <c r="P77"/>
      <c r="Q77"/>
      <c r="R77"/>
      <c r="S77"/>
      <c r="T77"/>
      <c r="U77"/>
      <c r="V77"/>
    </row>
    <row r="78" spans="2:22" ht="15.75" customHeight="1" x14ac:dyDescent="0.25">
      <c r="B78" s="334">
        <v>9</v>
      </c>
      <c r="C78" s="337" t="str">
        <f>VLOOKUP(B78,'[1]Высшая Лига'!$A:$J,2,FALSE)</f>
        <v>"Спортшкола - Юноши" г.Ялта</v>
      </c>
      <c r="D78" s="139">
        <v>1</v>
      </c>
      <c r="E78" s="140">
        <f>B78*10+1</f>
        <v>91</v>
      </c>
      <c r="F78" s="146" t="str">
        <f>VLOOKUP(E78,'[1]Высшая Лига'!$D:$M,3,FALSE)</f>
        <v xml:space="preserve"> Бородин Илья Николаевич</v>
      </c>
      <c r="G78" s="141" t="str">
        <f>VLOOKUP(E78,'[1]Высшая Лига'!$D:$M,4,FALSE)</f>
        <v>2001</v>
      </c>
      <c r="H78" s="146" t="str">
        <f>VLOOKUP(E78,'[1]Высшая Лига'!$D:$M,5,FALSE)</f>
        <v xml:space="preserve"> Ялта</v>
      </c>
      <c r="I78" s="142">
        <f>VLOOKUP(E78,'[1]Высшая Лига'!$D:$M,6,FALSE)</f>
        <v>869.89</v>
      </c>
      <c r="J78" s="340">
        <f>SUMIF(L78:L85,"&lt;4",I78:I85)</f>
        <v>2067.37</v>
      </c>
      <c r="K78" s="341">
        <f>_xlfn.RANK.EQ(J78,$J$6:$J$95)</f>
        <v>6</v>
      </c>
      <c r="L78" s="2">
        <f>_xlfn.RANK.EQ(I78,I78:I85)</f>
        <v>1</v>
      </c>
      <c r="M78" s="2" t="s">
        <v>142</v>
      </c>
      <c r="N78" s="196" t="s">
        <v>134</v>
      </c>
      <c r="P78"/>
      <c r="Q78"/>
      <c r="R78"/>
      <c r="S78"/>
      <c r="T78"/>
      <c r="U78"/>
      <c r="V78"/>
    </row>
    <row r="79" spans="2:22" ht="15.75" customHeight="1" x14ac:dyDescent="0.25">
      <c r="B79" s="335"/>
      <c r="C79" s="338"/>
      <c r="D79" s="214">
        <v>2</v>
      </c>
      <c r="E79" s="140">
        <f>E78+1</f>
        <v>92</v>
      </c>
      <c r="F79" s="198" t="str">
        <f>VLOOKUP(E79,'[1]Высшая Лига'!$D:$M,3,FALSE)</f>
        <v xml:space="preserve"> Чекалов Никита Геннадьевич</v>
      </c>
      <c r="G79" s="199" t="str">
        <f>VLOOKUP(E79,'[1]Высшая Лига'!$D:$M,4,FALSE)</f>
        <v>2008</v>
      </c>
      <c r="H79" s="198" t="str">
        <f>VLOOKUP(E79,'[1]Высшая Лига'!$D:$M,5,FALSE)</f>
        <v xml:space="preserve"> Ялта</v>
      </c>
      <c r="I79" s="213">
        <f>VLOOKUP(E79,'[1]Высшая Лига'!$D:$M,6,FALSE)</f>
        <v>654.87</v>
      </c>
      <c r="J79" s="340"/>
      <c r="K79" s="341"/>
      <c r="L79" s="2">
        <f>_xlfn.RANK.EQ(I79,I78:I85)</f>
        <v>2</v>
      </c>
      <c r="P79"/>
      <c r="Q79"/>
      <c r="R79"/>
      <c r="S79"/>
      <c r="T79"/>
      <c r="U79"/>
      <c r="V79"/>
    </row>
    <row r="80" spans="2:22" ht="15.75" customHeight="1" x14ac:dyDescent="0.25">
      <c r="B80" s="335"/>
      <c r="C80" s="338"/>
      <c r="D80" s="139">
        <v>3</v>
      </c>
      <c r="E80" s="140">
        <f t="shared" ref="E80:E94" si="9">E79+1</f>
        <v>93</v>
      </c>
      <c r="F80" s="146" t="str">
        <f>VLOOKUP(E80,'[1]Высшая Лига'!$D:$M,3,FALSE)</f>
        <v xml:space="preserve"> Груздов Дарион Сергеевич</v>
      </c>
      <c r="G80" s="141" t="str">
        <f>VLOOKUP(E80,'[1]Высшая Лига'!$D:$M,4,FALSE)</f>
        <v>2003</v>
      </c>
      <c r="H80" s="146" t="str">
        <f>VLOOKUP(E80,'[1]Высшая Лига'!$D:$M,5,FALSE)</f>
        <v xml:space="preserve"> Ялта</v>
      </c>
      <c r="I80" s="142">
        <f>VLOOKUP(E80,'[1]Высшая Лига'!$D:$M,6,FALSE)</f>
        <v>542.61</v>
      </c>
      <c r="J80" s="340"/>
      <c r="K80" s="341"/>
      <c r="L80" s="2">
        <f>_xlfn.RANK.EQ(I80,I78:I85)</f>
        <v>3</v>
      </c>
      <c r="P80"/>
      <c r="Q80"/>
      <c r="R80"/>
      <c r="S80"/>
      <c r="T80"/>
      <c r="U80"/>
      <c r="V80"/>
    </row>
    <row r="81" spans="2:22" ht="15.75" customHeight="1" outlineLevel="1" x14ac:dyDescent="0.25">
      <c r="B81" s="335"/>
      <c r="C81" s="338"/>
      <c r="D81" s="139">
        <v>4</v>
      </c>
      <c r="E81" s="140">
        <f t="shared" si="9"/>
        <v>94</v>
      </c>
      <c r="F81" s="146" t="str">
        <f>VLOOKUP(E81,'[1]Высшая Лига'!$D:$M,3,FALSE)</f>
        <v xml:space="preserve"> Чекалов Дмитрий Геннадьевич</v>
      </c>
      <c r="G81" s="141" t="str">
        <f>VLOOKUP(E81,'[1]Высшая Лига'!$D:$M,4,FALSE)</f>
        <v>2007</v>
      </c>
      <c r="H81" s="146" t="str">
        <f>VLOOKUP(E81,'[1]Высшая Лига'!$D:$M,5,FALSE)</f>
        <v xml:space="preserve"> Ялта</v>
      </c>
      <c r="I81" s="142">
        <f>VLOOKUP(E81,'[1]Высшая Лига'!$D:$M,6,FALSE)</f>
        <v>531.85</v>
      </c>
      <c r="J81" s="340"/>
      <c r="K81" s="341"/>
      <c r="L81" s="2">
        <f>_xlfn.RANK.EQ(I81,I78:I85)</f>
        <v>4</v>
      </c>
      <c r="P81"/>
      <c r="Q81"/>
      <c r="R81"/>
      <c r="S81"/>
      <c r="T81"/>
      <c r="U81"/>
      <c r="V81"/>
    </row>
    <row r="82" spans="2:22" ht="15.75" customHeight="1" outlineLevel="1" x14ac:dyDescent="0.25">
      <c r="B82" s="335"/>
      <c r="C82" s="338"/>
      <c r="D82" s="139">
        <v>5</v>
      </c>
      <c r="E82" s="140">
        <f t="shared" si="9"/>
        <v>95</v>
      </c>
      <c r="F82" s="146" t="str">
        <f>VLOOKUP(E82,'[1]Высшая Лига'!$D:$M,3,FALSE)</f>
        <v xml:space="preserve"> Михайленко Кирилл Вадимович</v>
      </c>
      <c r="G82" s="141" t="str">
        <f>VLOOKUP(E82,'[1]Высшая Лига'!$D:$M,4,FALSE)</f>
        <v>2005</v>
      </c>
      <c r="H82" s="146" t="str">
        <f>VLOOKUP(E82,'[1]Высшая Лига'!$D:$M,5,FALSE)</f>
        <v xml:space="preserve"> Ялта</v>
      </c>
      <c r="I82" s="142">
        <f>VLOOKUP(E82,'[1]Высшая Лига'!$D:$M,6,FALSE)</f>
        <v>509.52</v>
      </c>
      <c r="J82" s="340"/>
      <c r="K82" s="341"/>
      <c r="L82" s="2">
        <f>_xlfn.RANK.EQ(I82,I78:I85)</f>
        <v>5</v>
      </c>
      <c r="P82"/>
      <c r="Q82"/>
      <c r="R82"/>
      <c r="S82"/>
      <c r="T82"/>
      <c r="U82"/>
      <c r="V82"/>
    </row>
    <row r="83" spans="2:22" ht="15.75" customHeight="1" outlineLevel="1" x14ac:dyDescent="0.25">
      <c r="B83" s="335"/>
      <c r="C83" s="338"/>
      <c r="D83" s="139">
        <v>6</v>
      </c>
      <c r="E83" s="140">
        <f t="shared" si="9"/>
        <v>96</v>
      </c>
      <c r="F83" s="146" t="str">
        <f>VLOOKUP(E83,'[1]Высшая Лига'!$D:$M,3,FALSE)</f>
        <v xml:space="preserve"> Груздов Даниэль Сергеевич</v>
      </c>
      <c r="G83" s="141" t="str">
        <f>VLOOKUP(E83,'[1]Высшая Лига'!$D:$M,4,FALSE)</f>
        <v>2002</v>
      </c>
      <c r="H83" s="146" t="str">
        <f>VLOOKUP(E83,'[1]Высшая Лига'!$D:$M,5,FALSE)</f>
        <v xml:space="preserve"> Ялта</v>
      </c>
      <c r="I83" s="142">
        <f>VLOOKUP(E83,'[1]Высшая Лига'!$D:$M,6,FALSE)</f>
        <v>434.55</v>
      </c>
      <c r="J83" s="340"/>
      <c r="K83" s="341"/>
      <c r="L83" s="2">
        <f>_xlfn.RANK.EQ(I83,I78:I85)</f>
        <v>6</v>
      </c>
      <c r="P83"/>
      <c r="Q83"/>
      <c r="R83"/>
      <c r="S83"/>
      <c r="T83"/>
      <c r="U83"/>
      <c r="V83"/>
    </row>
    <row r="84" spans="2:22" ht="15.75" hidden="1" customHeight="1" outlineLevel="1" x14ac:dyDescent="0.25">
      <c r="B84" s="335"/>
      <c r="C84" s="338"/>
      <c r="D84" s="139">
        <v>7</v>
      </c>
      <c r="E84" s="140">
        <f t="shared" si="9"/>
        <v>97</v>
      </c>
      <c r="F84" s="146" t="str">
        <f>VLOOKUP(E84,'[1]Высшая Лига'!$D:$M,3,FALSE)</f>
        <v>-</v>
      </c>
      <c r="G84" s="141" t="str">
        <f>VLOOKUP(E84,'[1]Высшая Лига'!$D:$M,4,FALSE)</f>
        <v>-</v>
      </c>
      <c r="H84" s="146" t="str">
        <f>VLOOKUP(E84,'[1]Высшая Лига'!$D:$M,5,FALSE)</f>
        <v>-</v>
      </c>
      <c r="I84" s="142" t="str">
        <f>VLOOKUP(E84,'[1]Высшая Лига'!$D:$M,6,FALSE)</f>
        <v>-</v>
      </c>
      <c r="J84" s="340"/>
      <c r="K84" s="341"/>
      <c r="L84" s="2" t="e">
        <f>_xlfn.RANK.EQ(I84,I78:I85)</f>
        <v>#VALUE!</v>
      </c>
      <c r="P84"/>
      <c r="Q84"/>
      <c r="R84"/>
      <c r="S84"/>
      <c r="T84"/>
      <c r="U84"/>
      <c r="V84"/>
    </row>
    <row r="85" spans="2:22" ht="15.75" hidden="1" customHeight="1" outlineLevel="1" x14ac:dyDescent="0.25">
      <c r="B85" s="335"/>
      <c r="C85" s="338"/>
      <c r="D85" s="139">
        <v>8</v>
      </c>
      <c r="E85" s="140">
        <f t="shared" si="9"/>
        <v>98</v>
      </c>
      <c r="F85" s="146" t="str">
        <f>VLOOKUP(E85,'[1]Высшая Лига'!$D:$M,3,FALSE)</f>
        <v>-</v>
      </c>
      <c r="G85" s="141" t="str">
        <f>VLOOKUP(E85,'[1]Высшая Лига'!$D:$M,4,FALSE)</f>
        <v>-</v>
      </c>
      <c r="H85" s="146" t="str">
        <f>VLOOKUP(E85,'[1]Высшая Лига'!$D:$M,5,FALSE)</f>
        <v>-</v>
      </c>
      <c r="I85" s="142" t="str">
        <f>VLOOKUP(E85,'[1]Высшая Лига'!$D:$M,6,FALSE)</f>
        <v>-</v>
      </c>
      <c r="J85" s="340"/>
      <c r="K85" s="341"/>
      <c r="L85" s="2" t="e">
        <f>_xlfn.RANK.EQ(I85,I77:I85)</f>
        <v>#VALUE!</v>
      </c>
      <c r="P85"/>
      <c r="Q85"/>
      <c r="R85"/>
      <c r="S85"/>
      <c r="T85"/>
      <c r="U85"/>
      <c r="V85"/>
    </row>
    <row r="86" spans="2:22" ht="15.75" customHeight="1" collapsed="1" x14ac:dyDescent="0.25">
      <c r="B86" s="336"/>
      <c r="C86" s="339"/>
      <c r="D86" s="342" t="str">
        <f>INDEX('[1]Высшая Лига'!$A$5:$J$100,B78*9+1,3)</f>
        <v>Тренер: Прима В.А.</v>
      </c>
      <c r="E86" s="342"/>
      <c r="F86" s="342"/>
      <c r="G86" s="342"/>
      <c r="H86" s="342"/>
      <c r="I86" s="342"/>
      <c r="J86" s="340"/>
      <c r="K86" s="341"/>
      <c r="P86"/>
      <c r="Q86"/>
      <c r="R86"/>
      <c r="S86"/>
      <c r="T86"/>
      <c r="U86"/>
      <c r="V86"/>
    </row>
    <row r="87" spans="2:22" ht="15.75" customHeight="1" x14ac:dyDescent="0.25">
      <c r="B87" s="334">
        <v>10</v>
      </c>
      <c r="C87" s="337" t="str">
        <f>VLOOKUP(B87,'[1]Высшая Лига'!$A:$J,2,FALSE)</f>
        <v>«Спортшкола №3(2)» г.Симферополь</v>
      </c>
      <c r="D87" s="139">
        <v>1</v>
      </c>
      <c r="E87" s="140">
        <f>B87*10+1</f>
        <v>101</v>
      </c>
      <c r="F87" s="146" t="str">
        <f>VLOOKUP(E87,'[1]Высшая Лига'!$D:$M,3,FALSE)</f>
        <v xml:space="preserve"> Талалай Игорь Сергеевич</v>
      </c>
      <c r="G87" s="141" t="str">
        <f>VLOOKUP(E87,'[1]Высшая Лига'!$D:$M,4,FALSE)</f>
        <v>1990</v>
      </c>
      <c r="H87" s="146" t="str">
        <f>VLOOKUP(E87,'[1]Высшая Лига'!$D:$M,5,FALSE)</f>
        <v xml:space="preserve"> Новая Каховка</v>
      </c>
      <c r="I87" s="142">
        <f>VLOOKUP(E87,'[1]Высшая Лига'!$D:$M,6,FALSE)</f>
        <v>661.3</v>
      </c>
      <c r="J87" s="340">
        <f>SUMIF(L87:L94,"&lt;4",I87:I94)</f>
        <v>1895.07</v>
      </c>
      <c r="K87" s="341">
        <f>_xlfn.RANK.EQ(J87,$J$6:$J$95)</f>
        <v>10</v>
      </c>
      <c r="L87" s="2">
        <f>_xlfn.RANK.EQ(I87,I87:I94)</f>
        <v>1</v>
      </c>
      <c r="M87" s="2" t="s">
        <v>144</v>
      </c>
      <c r="N87" s="196" t="s">
        <v>133</v>
      </c>
      <c r="P87"/>
      <c r="Q87"/>
      <c r="R87"/>
      <c r="S87"/>
      <c r="T87"/>
      <c r="U87"/>
      <c r="V87"/>
    </row>
    <row r="88" spans="2:22" ht="15.75" customHeight="1" x14ac:dyDescent="0.25">
      <c r="B88" s="335"/>
      <c r="C88" s="338"/>
      <c r="D88" s="139">
        <v>2</v>
      </c>
      <c r="E88" s="140">
        <f>E87+1</f>
        <v>102</v>
      </c>
      <c r="F88" s="146" t="str">
        <f>VLOOKUP(E88,'[1]Высшая Лига'!$D:$M,3,FALSE)</f>
        <v xml:space="preserve"> Назаренко Олег Михайлович</v>
      </c>
      <c r="G88" s="141" t="str">
        <f>VLOOKUP(E88,'[1]Высшая Лига'!$D:$M,4,FALSE)</f>
        <v>1965</v>
      </c>
      <c r="H88" s="146" t="str">
        <f>VLOOKUP(E88,'[1]Высшая Лига'!$D:$M,5,FALSE)</f>
        <v xml:space="preserve"> Керчь</v>
      </c>
      <c r="I88" s="142">
        <f>VLOOKUP(E88,'[1]Высшая Лига'!$D:$M,6,FALSE)</f>
        <v>644.27</v>
      </c>
      <c r="J88" s="340"/>
      <c r="K88" s="341"/>
      <c r="L88" s="2">
        <f>_xlfn.RANK.EQ(I88,I87:I94)</f>
        <v>2</v>
      </c>
      <c r="Q88"/>
      <c r="R88"/>
      <c r="S88"/>
      <c r="T88"/>
      <c r="U88"/>
      <c r="V88"/>
    </row>
    <row r="89" spans="2:22" ht="15.75" customHeight="1" x14ac:dyDescent="0.25">
      <c r="B89" s="335"/>
      <c r="C89" s="338"/>
      <c r="D89" s="139">
        <v>3</v>
      </c>
      <c r="E89" s="140">
        <f t="shared" si="9"/>
        <v>103</v>
      </c>
      <c r="F89" s="146" t="str">
        <f>VLOOKUP(E89,'[1]Высшая Лига'!$D:$M,3,FALSE)</f>
        <v xml:space="preserve"> Романовский Александр Витальевич</v>
      </c>
      <c r="G89" s="141" t="str">
        <f>VLOOKUP(E89,'[1]Высшая Лига'!$D:$M,4,FALSE)</f>
        <v>2009</v>
      </c>
      <c r="H89" s="146" t="str">
        <f>VLOOKUP(E89,'[1]Высшая Лига'!$D:$M,5,FALSE)</f>
        <v xml:space="preserve"> Симферополь</v>
      </c>
      <c r="I89" s="142">
        <f>VLOOKUP(E89,'[1]Высшая Лига'!$D:$M,6,FALSE)</f>
        <v>589.5</v>
      </c>
      <c r="J89" s="340"/>
      <c r="K89" s="341"/>
      <c r="L89" s="2">
        <f>_xlfn.RANK.EQ(I89,I87:I94)</f>
        <v>3</v>
      </c>
      <c r="Q89"/>
      <c r="R89"/>
      <c r="S89"/>
      <c r="T89"/>
    </row>
    <row r="90" spans="2:22" ht="15.75" customHeight="1" outlineLevel="1" x14ac:dyDescent="0.25">
      <c r="B90" s="335"/>
      <c r="C90" s="338"/>
      <c r="D90" s="139">
        <v>4</v>
      </c>
      <c r="E90" s="140">
        <f t="shared" si="9"/>
        <v>104</v>
      </c>
      <c r="F90" s="146" t="str">
        <f>VLOOKUP(E90,'[1]Высшая Лига'!$D:$M,3,FALSE)</f>
        <v xml:space="preserve"> Алексеев Игорь Юрьевич</v>
      </c>
      <c r="G90" s="141" t="str">
        <f>VLOOKUP(E90,'[1]Высшая Лига'!$D:$M,4,FALSE)</f>
        <v>2005</v>
      </c>
      <c r="H90" s="146" t="str">
        <f>VLOOKUP(E90,'[1]Высшая Лига'!$D:$M,5,FALSE)</f>
        <v xml:space="preserve"> Сакский р-н</v>
      </c>
      <c r="I90" s="142">
        <f>VLOOKUP(E90,'[1]Высшая Лига'!$D:$M,6,FALSE)</f>
        <v>584.39</v>
      </c>
      <c r="J90" s="340"/>
      <c r="K90" s="341"/>
      <c r="L90" s="2">
        <f>_xlfn.RANK.EQ(I90,I87:I94)</f>
        <v>4</v>
      </c>
    </row>
    <row r="91" spans="2:22" ht="15.75" customHeight="1" outlineLevel="1" x14ac:dyDescent="0.25">
      <c r="B91" s="335"/>
      <c r="C91" s="338"/>
      <c r="D91" s="139">
        <v>5</v>
      </c>
      <c r="E91" s="140">
        <f t="shared" si="9"/>
        <v>105</v>
      </c>
      <c r="F91" s="146" t="str">
        <f>VLOOKUP(E91,'[1]Высшая Лига'!$D:$M,3,FALSE)</f>
        <v xml:space="preserve"> Тимофеев Александр Сергеевич</v>
      </c>
      <c r="G91" s="141" t="str">
        <f>VLOOKUP(E91,'[1]Высшая Лига'!$D:$M,4,FALSE)</f>
        <v>2008</v>
      </c>
      <c r="H91" s="146" t="str">
        <f>VLOOKUP(E91,'[1]Высшая Лига'!$D:$M,5,FALSE)</f>
        <v xml:space="preserve"> Симферополь</v>
      </c>
      <c r="I91" s="142">
        <f>VLOOKUP(E91,'[1]Высшая Лига'!$D:$M,6,FALSE)</f>
        <v>539.14</v>
      </c>
      <c r="J91" s="340"/>
      <c r="K91" s="341"/>
      <c r="L91" s="2">
        <f>_xlfn.RANK.EQ(I91,I87:I94)</f>
        <v>5</v>
      </c>
    </row>
    <row r="92" spans="2:22" ht="15.75" customHeight="1" outlineLevel="1" x14ac:dyDescent="0.25">
      <c r="B92" s="335"/>
      <c r="C92" s="338"/>
      <c r="D92" s="139">
        <v>6</v>
      </c>
      <c r="E92" s="140">
        <f t="shared" si="9"/>
        <v>106</v>
      </c>
      <c r="F92" s="146" t="str">
        <f>VLOOKUP(E92,'[1]Высшая Лига'!$D:$M,3,FALSE)</f>
        <v xml:space="preserve"> Спорышев Александр Алексеевич</v>
      </c>
      <c r="G92" s="141" t="str">
        <f>VLOOKUP(E92,'[1]Высшая Лига'!$D:$M,4,FALSE)</f>
        <v>2006</v>
      </c>
      <c r="H92" s="146" t="str">
        <f>VLOOKUP(E92,'[1]Высшая Лига'!$D:$M,5,FALSE)</f>
        <v xml:space="preserve"> Симферополь</v>
      </c>
      <c r="I92" s="142">
        <f>VLOOKUP(E92,'[1]Высшая Лига'!$D:$M,6,FALSE)</f>
        <v>521.19000000000005</v>
      </c>
      <c r="J92" s="340"/>
      <c r="K92" s="341"/>
      <c r="L92" s="2">
        <f>_xlfn.RANK.EQ(I92,I87:I94)</f>
        <v>6</v>
      </c>
    </row>
    <row r="93" spans="2:22" ht="15.75" hidden="1" customHeight="1" outlineLevel="1" x14ac:dyDescent="0.25">
      <c r="B93" s="335"/>
      <c r="C93" s="338"/>
      <c r="D93" s="139">
        <v>7</v>
      </c>
      <c r="E93" s="140">
        <f t="shared" si="9"/>
        <v>107</v>
      </c>
      <c r="F93" s="146" t="str">
        <f>VLOOKUP(E93,'[1]Высшая Лига'!$D:$M,3,FALSE)</f>
        <v>-</v>
      </c>
      <c r="G93" s="141" t="str">
        <f>VLOOKUP(E93,'[1]Высшая Лига'!$D:$M,4,FALSE)</f>
        <v>-</v>
      </c>
      <c r="H93" s="146" t="str">
        <f>VLOOKUP(E93,'[1]Высшая Лига'!$D:$M,5,FALSE)</f>
        <v>-</v>
      </c>
      <c r="I93" s="142" t="str">
        <f>VLOOKUP(E93,'[1]Высшая Лига'!$D:$M,6,FALSE)</f>
        <v>-</v>
      </c>
      <c r="J93" s="340"/>
      <c r="K93" s="341"/>
      <c r="L93" s="2" t="e">
        <f>_xlfn.RANK.EQ(I93,I87:I94)</f>
        <v>#VALUE!</v>
      </c>
    </row>
    <row r="94" spans="2:22" ht="15.75" hidden="1" customHeight="1" outlineLevel="1" x14ac:dyDescent="0.25">
      <c r="B94" s="335"/>
      <c r="C94" s="338"/>
      <c r="D94" s="139">
        <v>8</v>
      </c>
      <c r="E94" s="140">
        <f t="shared" si="9"/>
        <v>108</v>
      </c>
      <c r="F94" s="146" t="str">
        <f>VLOOKUP(E94,'[1]Высшая Лига'!$D:$M,3,FALSE)</f>
        <v>-</v>
      </c>
      <c r="G94" s="141" t="str">
        <f>VLOOKUP(E94,'[1]Высшая Лига'!$D:$M,4,FALSE)</f>
        <v>-</v>
      </c>
      <c r="H94" s="146" t="str">
        <f>VLOOKUP(E94,'[1]Высшая Лига'!$D:$M,5,FALSE)</f>
        <v>-</v>
      </c>
      <c r="I94" s="142" t="str">
        <f>VLOOKUP(E94,'[1]Высшая Лига'!$D:$M,6,FALSE)</f>
        <v>-</v>
      </c>
      <c r="J94" s="340"/>
      <c r="K94" s="341"/>
      <c r="L94" s="2" t="e">
        <f>_xlfn.RANK.EQ(I94,I87:I94)</f>
        <v>#VALUE!</v>
      </c>
    </row>
    <row r="95" spans="2:22" ht="15.75" customHeight="1" collapsed="1" x14ac:dyDescent="0.25">
      <c r="B95" s="336"/>
      <c r="C95" s="339"/>
      <c r="D95" s="342" t="str">
        <f>INDEX('[1]Высшая Лига'!$A$5:$J$100,B87*9+1,3)</f>
        <v>Тренер: Филатов Д.В.</v>
      </c>
      <c r="E95" s="342"/>
      <c r="F95" s="342"/>
      <c r="G95" s="342"/>
      <c r="H95" s="342"/>
      <c r="I95" s="342"/>
      <c r="J95" s="340"/>
      <c r="K95" s="341"/>
      <c r="N95" s="200"/>
      <c r="Q95" s="200"/>
    </row>
    <row r="96" spans="2:22" ht="15.75" customHeight="1" x14ac:dyDescent="0.25">
      <c r="B96" s="212"/>
      <c r="D96" s="212"/>
      <c r="E96" s="212"/>
    </row>
    <row r="97" spans="2:39" ht="15.75" x14ac:dyDescent="0.25">
      <c r="B97" s="186" t="s">
        <v>97</v>
      </c>
      <c r="C97" s="191"/>
      <c r="D97" s="191"/>
      <c r="E97" s="191"/>
      <c r="F97" s="191"/>
      <c r="G97" s="192" t="s">
        <v>119</v>
      </c>
      <c r="H97" s="186"/>
      <c r="J97" s="191"/>
      <c r="K97" s="191"/>
      <c r="L97" s="191"/>
      <c r="M97" s="191"/>
      <c r="N97" s="191"/>
      <c r="O97" s="191"/>
      <c r="P97" s="191"/>
      <c r="Q97" s="191"/>
      <c r="R97" s="191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93"/>
    </row>
    <row r="98" spans="2:39" ht="15.75" x14ac:dyDescent="0.25">
      <c r="B98" s="187"/>
      <c r="C98" s="191"/>
      <c r="D98" s="191"/>
      <c r="E98" s="191"/>
      <c r="F98" s="191"/>
      <c r="G98" s="191"/>
      <c r="H98" s="187"/>
      <c r="J98" s="191"/>
      <c r="K98" s="191"/>
      <c r="L98" s="191"/>
      <c r="M98" s="191"/>
      <c r="N98" s="191"/>
      <c r="O98" s="191"/>
      <c r="P98" s="191"/>
      <c r="Q98" s="191"/>
      <c r="R98" s="191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93"/>
    </row>
    <row r="99" spans="2:39" ht="15.75" x14ac:dyDescent="0.25">
      <c r="B99" s="186" t="s">
        <v>98</v>
      </c>
      <c r="C99" s="191"/>
      <c r="D99" s="191"/>
      <c r="E99" s="191"/>
      <c r="F99" s="191"/>
      <c r="G99" s="192" t="s">
        <v>119</v>
      </c>
      <c r="H99" s="186"/>
      <c r="J99" s="191"/>
      <c r="K99" s="191"/>
      <c r="L99" s="191"/>
      <c r="M99" s="191"/>
      <c r="N99" s="191"/>
      <c r="O99" s="191"/>
      <c r="P99" s="191"/>
      <c r="Q99" s="191"/>
      <c r="R99" s="191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93"/>
    </row>
  </sheetData>
  <sortState ref="F60:I66">
    <sortCondition descending="1" ref="I60:I66"/>
  </sortState>
  <mergeCells count="53">
    <mergeCell ref="K78:K86"/>
    <mergeCell ref="K87:K95"/>
    <mergeCell ref="B78:B86"/>
    <mergeCell ref="C78:C86"/>
    <mergeCell ref="J78:J86"/>
    <mergeCell ref="D86:I86"/>
    <mergeCell ref="B87:B95"/>
    <mergeCell ref="C87:C95"/>
    <mergeCell ref="J87:J95"/>
    <mergeCell ref="D95:I95"/>
    <mergeCell ref="B24:B32"/>
    <mergeCell ref="C24:C32"/>
    <mergeCell ref="J24:J32"/>
    <mergeCell ref="K24:K32"/>
    <mergeCell ref="D32:I32"/>
    <mergeCell ref="B1:J1"/>
    <mergeCell ref="B2:J2"/>
    <mergeCell ref="B4:J4"/>
    <mergeCell ref="K60:K68"/>
    <mergeCell ref="B60:B68"/>
    <mergeCell ref="C60:C68"/>
    <mergeCell ref="J60:J68"/>
    <mergeCell ref="D68:I68"/>
    <mergeCell ref="B15:B23"/>
    <mergeCell ref="C15:C23"/>
    <mergeCell ref="J15:J23"/>
    <mergeCell ref="K15:K23"/>
    <mergeCell ref="D23:I23"/>
    <mergeCell ref="B51:B59"/>
    <mergeCell ref="C51:C59"/>
    <mergeCell ref="J51:J59"/>
    <mergeCell ref="K51:K59"/>
    <mergeCell ref="D59:I59"/>
    <mergeCell ref="B33:B41"/>
    <mergeCell ref="C33:C41"/>
    <mergeCell ref="J33:J41"/>
    <mergeCell ref="K33:K41"/>
    <mergeCell ref="D41:I41"/>
    <mergeCell ref="B42:B50"/>
    <mergeCell ref="C42:C50"/>
    <mergeCell ref="J42:J50"/>
    <mergeCell ref="K42:K50"/>
    <mergeCell ref="D50:I50"/>
    <mergeCell ref="B69:B77"/>
    <mergeCell ref="C69:C77"/>
    <mergeCell ref="J69:J77"/>
    <mergeCell ref="K69:K77"/>
    <mergeCell ref="D77:I77"/>
    <mergeCell ref="B6:B14"/>
    <mergeCell ref="C6:C14"/>
    <mergeCell ref="J6:J14"/>
    <mergeCell ref="K6:K14"/>
    <mergeCell ref="D14:I14"/>
  </mergeCells>
  <printOptions horizontalCentered="1" verticalCentered="1"/>
  <pageMargins left="0.19685039370078741" right="0.19685039370078741" top="0.19685039370078741" bottom="0.19685039370078741" header="0.11811023622047245" footer="0.11811023622047245"/>
  <pageSetup paperSize="9" scale="6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  <pageSetUpPr fitToPage="1"/>
  </sheetPr>
  <dimension ref="A1:IU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«СШ №3(1)» г.Симферополь</v>
      </c>
      <c r="B1" s="576"/>
      <c r="C1" s="577" t="str">
        <f>IF(D11="","",VLOOKUP(D11,Список!B:O,12,FALSE))</f>
        <v>"Спортшкола - Юноши" г.Ялта</v>
      </c>
      <c r="D1" s="578"/>
      <c r="E1" s="579">
        <v>40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81</v>
      </c>
      <c r="B2" s="13" t="str">
        <f>IF(A2="","",VLOOKUP(A2,Список!E:O,2,FALSE))</f>
        <v xml:space="preserve"> Пыльник Данил Александрович</v>
      </c>
      <c r="C2" s="14">
        <f>IF($B$11="","",$D$11*10+1)</f>
        <v>91</v>
      </c>
      <c r="D2" s="15" t="str">
        <f>IF(C2="","",VLOOKUP(C2,Список!E:O,2,FALSE))</f>
        <v xml:space="preserve"> Бородин Илья Николаевич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82</v>
      </c>
      <c r="B3" s="13" t="str">
        <f>IF(A3="","",VLOOKUP(A3,Список!E:O,2,FALSE))</f>
        <v xml:space="preserve"> Орбакас Антон Эдуардесович</v>
      </c>
      <c r="C3" s="14">
        <f>IF($B$11="","",$D$11*10+2)</f>
        <v>92</v>
      </c>
      <c r="D3" s="15" t="str">
        <f>IF(C3="","",VLOOKUP(C3,Список!E:O,2,FALSE))</f>
        <v xml:space="preserve"> Чекалов Никита Геннадьевич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83</v>
      </c>
      <c r="B4" s="13" t="str">
        <f>IF(A4="","",VLOOKUP(A4,Список!E:O,2,FALSE))</f>
        <v xml:space="preserve"> Лойко Максим Александрович</v>
      </c>
      <c r="C4" s="14">
        <f>IF($B$11="","",$D$11*10+3)</f>
        <v>93</v>
      </c>
      <c r="D4" s="15" t="str">
        <f>IF(C4="","",VLOOKUP(C4,Список!E:O,2,FALSE))</f>
        <v xml:space="preserve"> Груздов Дарион Сергеевич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84</v>
      </c>
      <c r="B5" s="13" t="str">
        <f>IF(A5="","",VLOOKUP(A5,Список!E:O,2,FALSE))</f>
        <v>-</v>
      </c>
      <c r="C5" s="14">
        <f>IF($B$11="","",$D$11*10+4)</f>
        <v>94</v>
      </c>
      <c r="D5" s="15" t="str">
        <f>IF(C5="","",VLOOKUP(C5,Список!E:O,2,FALSE))</f>
        <v xml:space="preserve"> Чекалов Дмитрий Геннадьевич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85</v>
      </c>
      <c r="B6" s="13" t="str">
        <f>IF(A6="","",VLOOKUP(A6,Список!E:O,2,FALSE))</f>
        <v>-</v>
      </c>
      <c r="C6" s="14">
        <f>IF($B$11="","",$D$11*10+5)</f>
        <v>95</v>
      </c>
      <c r="D6" s="15" t="str">
        <f>IF(C6="","",VLOOKUP(C6,Список!E:O,2,FALSE))</f>
        <v xml:space="preserve"> Михайленко Кирилл Вадимович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86</v>
      </c>
      <c r="B7" s="13" t="str">
        <f>IF(A7="","",VLOOKUP(A7,Список!E:O,2,FALSE))</f>
        <v>-</v>
      </c>
      <c r="C7" s="14">
        <f>IF($B$11="","",$D$11*10+6)</f>
        <v>96</v>
      </c>
      <c r="D7" s="15" t="str">
        <f>IF(C7="","",VLOOKUP(C7,Список!E:O,2,FALSE))</f>
        <v xml:space="preserve"> Груздов Даниэль Сергеевич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87</v>
      </c>
      <c r="B8" s="13" t="str">
        <f>IF(A8="","",VLOOKUP(A8,Список!E:O,2,FALSE))</f>
        <v>-</v>
      </c>
      <c r="C8" s="14">
        <f>IF($B$11="","",$D$11*10+7)</f>
        <v>97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"Спортшкола - Юноши" г.Ялта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№3(1)»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88</v>
      </c>
      <c r="B9" s="13" t="str">
        <f>IF(A9="","",VLOOKUP(A9,Список!E:O,2,FALSE))</f>
        <v>-</v>
      </c>
      <c r="C9" s="14">
        <f>IF($B$11="","",$D$11*10+8)</f>
        <v>98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8</v>
      </c>
      <c r="C11" s="27" t="s">
        <v>18</v>
      </c>
      <c r="D11" s="29">
        <f>IF(B11="","",IF(B11=A13,C13,IF(B11=C13,A13,)))</f>
        <v>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«СШ №3(1)»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"Спортшкола - Юноши" г.Ялта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80</v>
      </c>
      <c r="D12" s="25">
        <f>IF(B11="","",D11*10)</f>
        <v>90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9</v>
      </c>
      <c r="B13" s="566"/>
      <c r="C13" s="565">
        <f>IF($E$1="","",VLOOKUP($E$1,'Общее расписание'!$B:$V,3,FALSE))</f>
        <v>8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Филатов Д.В.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8, встреча 40, 9 - 8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40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81</v>
      </c>
      <c r="C16" s="41" t="s">
        <v>35</v>
      </c>
      <c r="D16" s="40">
        <v>92</v>
      </c>
      <c r="E16" s="42"/>
      <c r="F16" s="42"/>
      <c r="G16" s="42"/>
      <c r="H16" s="42"/>
      <c r="I16" s="42"/>
      <c r="J16" s="43" t="str">
        <f>IF(E16="","",IF(E16="0",1000,IF(E16="-0",-1000,E16*1)))</f>
        <v/>
      </c>
      <c r="K16" s="43" t="str">
        <f>IF(F16="","",IF(F16="0",1000,IF(F16="-0",-1000,F16*1)))</f>
        <v/>
      </c>
      <c r="L16" s="43" t="str">
        <f>IF(G16="","",IF(G16="0",1000,IF(G16="-0",-1000,G16*1)))</f>
        <v/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 t="str">
        <f>IF(J16="","",IF(J16&gt;0,1,0))</f>
        <v/>
      </c>
      <c r="P16" s="44" t="str">
        <f t="shared" ref="P16:S20" si="0">IF(K16="","",IF(K16&gt;0,1,0))</f>
        <v/>
      </c>
      <c r="Q16" s="44" t="str">
        <f t="shared" si="0"/>
        <v/>
      </c>
      <c r="R16" s="44" t="str">
        <f t="shared" si="0"/>
        <v/>
      </c>
      <c r="S16" s="44" t="str">
        <f t="shared" si="0"/>
        <v/>
      </c>
      <c r="T16" s="45" t="str">
        <f t="shared" ref="T16:X20" si="1">IF(J16="","",IF(J16&lt;0,1,0))</f>
        <v/>
      </c>
      <c r="U16" s="45" t="str">
        <f t="shared" si="1"/>
        <v/>
      </c>
      <c r="V16" s="45" t="str">
        <f t="shared" si="1"/>
        <v/>
      </c>
      <c r="W16" s="45" t="str">
        <f t="shared" si="1"/>
        <v/>
      </c>
      <c r="X16" s="45" t="str">
        <f t="shared" si="1"/>
        <v/>
      </c>
      <c r="Y16" s="46" t="str">
        <f>IF(E16="","",SUM(O16:S16))</f>
        <v/>
      </c>
      <c r="Z16" s="46" t="str">
        <f>IF(E16="","",SUM(T16:X16))</f>
        <v/>
      </c>
      <c r="AA16" s="47" t="str">
        <f>IF(E16="","",IF(Y16&gt;Z16,1,0))</f>
        <v/>
      </c>
      <c r="AB16" s="48" t="str">
        <f>IF(E16="","",IF(Y16&lt;Z16,1,0))</f>
        <v/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Пыльник Данил Александрович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Чекалов Никита Геннадьевич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 t="str">
        <f>IF(E16="","",IF(J16&gt;9,HQ16,HO16))</f>
        <v/>
      </c>
      <c r="EP16" s="320"/>
      <c r="EQ16" s="320"/>
      <c r="ER16" s="320"/>
      <c r="ES16" s="314" t="str">
        <f>IF(EO16="","","-")</f>
        <v/>
      </c>
      <c r="ET16" s="314"/>
      <c r="EU16" s="320" t="str">
        <f>IF(E16="","",IF(J16&lt;-9,HP16,HR16))</f>
        <v/>
      </c>
      <c r="EV16" s="320"/>
      <c r="EW16" s="320"/>
      <c r="EX16" s="321"/>
      <c r="EY16" s="322" t="str">
        <f>IF(F16="","",IF(K16&gt;9,HU16,HS16))</f>
        <v/>
      </c>
      <c r="EZ16" s="320"/>
      <c r="FA16" s="320"/>
      <c r="FB16" s="320"/>
      <c r="FC16" s="323" t="str">
        <f>IF(EY16="","","-")</f>
        <v/>
      </c>
      <c r="FD16" s="323"/>
      <c r="FE16" s="320" t="str">
        <f>IF(F16="","",IF(K16&lt;-9,HT16,HV16))</f>
        <v/>
      </c>
      <c r="FF16" s="320"/>
      <c r="FG16" s="320"/>
      <c r="FH16" s="321"/>
      <c r="FI16" s="322" t="str">
        <f>IF(G16="","",IF(L16&gt;9,HY16,HW16))</f>
        <v/>
      </c>
      <c r="FJ16" s="320"/>
      <c r="FK16" s="320"/>
      <c r="FL16" s="320"/>
      <c r="FM16" s="323" t="str">
        <f>IF(FI16="","","-")</f>
        <v/>
      </c>
      <c r="FN16" s="323"/>
      <c r="FO16" s="320" t="str">
        <f>IF(G16="","",IF(L16&lt;-9,HX16,HZ16))</f>
        <v/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 t="str">
        <f>Y16</f>
        <v/>
      </c>
      <c r="GN16" s="310"/>
      <c r="GO16" s="310"/>
      <c r="GP16" s="310"/>
      <c r="GQ16" s="310"/>
      <c r="GR16" s="310"/>
      <c r="GS16" s="311"/>
      <c r="GT16" s="312" t="str">
        <f>Z16</f>
        <v/>
      </c>
      <c r="GU16" s="310"/>
      <c r="GV16" s="310"/>
      <c r="GW16" s="310"/>
      <c r="GX16" s="310"/>
      <c r="GY16" s="310"/>
      <c r="GZ16" s="313"/>
      <c r="HA16" s="315" t="str">
        <f>AA16</f>
        <v/>
      </c>
      <c r="HB16" s="316"/>
      <c r="HC16" s="316"/>
      <c r="HD16" s="316"/>
      <c r="HE16" s="316"/>
      <c r="HF16" s="316"/>
      <c r="HG16" s="317"/>
      <c r="HH16" s="318" t="str">
        <f>AB16</f>
        <v/>
      </c>
      <c r="HI16" s="316"/>
      <c r="HJ16" s="316"/>
      <c r="HK16" s="316"/>
      <c r="HL16" s="316"/>
      <c r="HM16" s="316"/>
      <c r="HN16" s="319"/>
      <c r="HO16" s="49" t="str">
        <f>IF(E16="","",IF(J16=1000,11,IF(J16=-1000,0,IF(J16&gt;0,11,IF(J16&lt;0,(-J16),"0")))))</f>
        <v/>
      </c>
      <c r="HP16" s="50" t="str">
        <f>IF(E16="","",IF(J16=1000,0,IF(J16=-1000,11,IF(J16&lt;-9,-(J16-2),IF(J16&gt;0,(GU16),"0")))))</f>
        <v/>
      </c>
      <c r="HQ16" s="51" t="str">
        <f>IF(E16="","",IF(J16=1000,11,IF(J16=-1000,0,IF(J16&lt;9,11,IF(J16&gt;9,(J16+2),"0")))))</f>
        <v/>
      </c>
      <c r="HR16" s="52" t="str">
        <f>IF(E16="","",IF(J16=1000,0,IF(J16=-1000,11,IF(J16&lt;0,11,IF(J16&gt;0,(J16),"0")))))</f>
        <v/>
      </c>
      <c r="HS16" s="53" t="str">
        <f>IF(F16="","",IF(K16=1000,11,IF(K16=-1000,0,IF(K16&gt;0,11,IF(K16&lt;0,(-K16),"0")))))</f>
        <v/>
      </c>
      <c r="HT16" s="53" t="str">
        <f>IF(F16="","",IF(K16=1000,0,IF(K16=-1000,11,IF(K16&lt;-9,-(K16-2),IF(K16&gt;0,(GV16),"0")))))</f>
        <v/>
      </c>
      <c r="HU16" s="54" t="str">
        <f>IF(F16="","",IF(K16=1000,11,IF(K16=-1000,0,IF(K16&lt;9,11,IF(K16&gt;9,(K16+2),"0")))))</f>
        <v/>
      </c>
      <c r="HV16" s="54" t="str">
        <f>IF(F16="","",IF(K16=1000,0,IF(K16=-1000,11,IF(K16&lt;0,11,IF(K16&gt;0,(K16),"0")))))</f>
        <v/>
      </c>
      <c r="HW16" s="49" t="str">
        <f>IF(G16="","",IF(L16=1000,11,IF(L16=-1000,0,IF(L16&gt;0,11,IF(L16&lt;0,(-L16),"0")))))</f>
        <v/>
      </c>
      <c r="HX16" s="50" t="str">
        <f>IF(G16="","",IF(L16=1000,0,IF(L16=-1000,11,IF(L16&lt;-9,-(L16-2),IF(L16&gt;0,(GW16),"0")))))</f>
        <v/>
      </c>
      <c r="HY16" s="51" t="str">
        <f>IF(G16="","",IF(L16=1000,11,IF(L16=-1000,0,IF(L16&lt;9,11,IF(L16&gt;9,(L16+2),"0")))))</f>
        <v/>
      </c>
      <c r="HZ16" s="52" t="str">
        <f>IF(G16="","",IF(L16=1000,0,IF(L16=-1000,11,IF(L16&lt;0,11,IF(L16&gt;0,(L16),"0")))))</f>
        <v/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 t="str">
        <f>IF(E16="","",EO16*1)</f>
        <v/>
      </c>
      <c r="IJ16" s="56" t="str">
        <f>IF(F16="","",EY16*1)</f>
        <v/>
      </c>
      <c r="IK16" s="56" t="str">
        <f>IF(G16="","",FI16*1)</f>
        <v/>
      </c>
      <c r="IL16" s="56" t="str">
        <f>IF(H16="","",FS16*1)</f>
        <v/>
      </c>
      <c r="IM16" s="56" t="str">
        <f>IF(I16="","",GC16*1)</f>
        <v/>
      </c>
      <c r="IN16" s="57" t="str">
        <f>IF(E16="","",EU16*1)</f>
        <v/>
      </c>
      <c r="IO16" s="57" t="str">
        <f>IF(F16="","",FE16*1)</f>
        <v/>
      </c>
      <c r="IP16" s="57" t="str">
        <f>IF(G16="","",FO16*1)</f>
        <v/>
      </c>
      <c r="IQ16" s="57" t="str">
        <f>IF(H16="","",FY16*1)</f>
        <v/>
      </c>
      <c r="IR16" s="57" t="str">
        <f>IF(I16="","",GI16*1)</f>
        <v/>
      </c>
      <c r="IS16" s="58" t="str">
        <f>IF(E16="","",SUM(II16:IM16))</f>
        <v/>
      </c>
      <c r="IT16" s="58" t="str">
        <f>IF(E16="","",SUM(IN16:IR16))</f>
        <v/>
      </c>
    </row>
    <row r="17" spans="1:254" ht="30" customHeight="1" x14ac:dyDescent="0.35">
      <c r="A17" s="39" t="s">
        <v>18</v>
      </c>
      <c r="B17" s="40">
        <v>83</v>
      </c>
      <c r="C17" s="41" t="s">
        <v>34</v>
      </c>
      <c r="D17" s="40">
        <v>94</v>
      </c>
      <c r="E17" s="42"/>
      <c r="F17" s="42"/>
      <c r="G17" s="42"/>
      <c r="H17" s="42"/>
      <c r="I17" s="42"/>
      <c r="J17" s="43" t="str">
        <f t="shared" ref="J17:N20" si="2">IF(E17="","",IF(E17="0",1000,IF(E17="-0",-1000,E17*1)))</f>
        <v/>
      </c>
      <c r="K17" s="43" t="str">
        <f t="shared" si="2"/>
        <v/>
      </c>
      <c r="L17" s="43" t="str">
        <f t="shared" si="2"/>
        <v/>
      </c>
      <c r="M17" s="43" t="str">
        <f t="shared" si="2"/>
        <v/>
      </c>
      <c r="N17" s="43" t="str">
        <f t="shared" si="2"/>
        <v/>
      </c>
      <c r="O17" s="44" t="str">
        <f>IF(J17="","",IF(J17&gt;0,1,0))</f>
        <v/>
      </c>
      <c r="P17" s="44" t="str">
        <f t="shared" si="0"/>
        <v/>
      </c>
      <c r="Q17" s="44" t="str">
        <f t="shared" si="0"/>
        <v/>
      </c>
      <c r="R17" s="44" t="str">
        <f t="shared" si="0"/>
        <v/>
      </c>
      <c r="S17" s="44" t="str">
        <f t="shared" si="0"/>
        <v/>
      </c>
      <c r="T17" s="45" t="str">
        <f t="shared" si="1"/>
        <v/>
      </c>
      <c r="U17" s="45" t="str">
        <f t="shared" si="1"/>
        <v/>
      </c>
      <c r="V17" s="45" t="str">
        <f t="shared" si="1"/>
        <v/>
      </c>
      <c r="W17" s="45" t="str">
        <f t="shared" si="1"/>
        <v/>
      </c>
      <c r="X17" s="45" t="str">
        <f t="shared" si="1"/>
        <v/>
      </c>
      <c r="Y17" s="46" t="str">
        <f>IF(E17="","",SUM(O17:S17))</f>
        <v/>
      </c>
      <c r="Z17" s="46" t="str">
        <f>IF(E17="","",SUM(T17:X17))</f>
        <v/>
      </c>
      <c r="AA17" s="47" t="str">
        <f>IF(E17="","",IF(Y17&gt;Z17,1,0))</f>
        <v/>
      </c>
      <c r="AB17" s="48" t="str">
        <f>IF(E17="","",IF(Y17&lt;Z17,1,0))</f>
        <v/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Лойко Максим Александрович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Чекалов Дмитрий Геннадьевич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 t="str">
        <f>IF(E17="","",IF(J17&gt;9,HQ17,HO17))</f>
        <v/>
      </c>
      <c r="EP17" s="255"/>
      <c r="EQ17" s="255"/>
      <c r="ER17" s="255"/>
      <c r="ES17" s="297" t="str">
        <f>IF(EO17="","","-")</f>
        <v/>
      </c>
      <c r="ET17" s="297"/>
      <c r="EU17" s="255" t="str">
        <f>IF(E17="","",IF(J17&lt;-9,HP17,HR17))</f>
        <v/>
      </c>
      <c r="EV17" s="255"/>
      <c r="EW17" s="255"/>
      <c r="EX17" s="256"/>
      <c r="EY17" s="257" t="str">
        <f>IF(F17="","",IF(K17&gt;9,HU17,HS17))</f>
        <v/>
      </c>
      <c r="EZ17" s="255"/>
      <c r="FA17" s="255"/>
      <c r="FB17" s="255"/>
      <c r="FC17" s="254" t="str">
        <f>IF(EY17="","","-")</f>
        <v/>
      </c>
      <c r="FD17" s="254"/>
      <c r="FE17" s="255" t="str">
        <f>IF(F17="","",IF(K17&lt;-9,HT17,HV17))</f>
        <v/>
      </c>
      <c r="FF17" s="255"/>
      <c r="FG17" s="255"/>
      <c r="FH17" s="256"/>
      <c r="FI17" s="257" t="str">
        <f>IF(G17="","",IF(L17&gt;9,HY17,HW17))</f>
        <v/>
      </c>
      <c r="FJ17" s="255"/>
      <c r="FK17" s="255"/>
      <c r="FL17" s="255"/>
      <c r="FM17" s="254" t="str">
        <f>IF(FI17="","","-")</f>
        <v/>
      </c>
      <c r="FN17" s="254"/>
      <c r="FO17" s="255" t="str">
        <f>IF(G17="","",IF(L17&lt;-9,HX17,HZ17))</f>
        <v/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 t="str">
        <f>Y17</f>
        <v/>
      </c>
      <c r="GN17" s="247"/>
      <c r="GO17" s="247"/>
      <c r="GP17" s="247"/>
      <c r="GQ17" s="247"/>
      <c r="GR17" s="247"/>
      <c r="GS17" s="304"/>
      <c r="GT17" s="246" t="str">
        <f>Z17</f>
        <v/>
      </c>
      <c r="GU17" s="247"/>
      <c r="GV17" s="247"/>
      <c r="GW17" s="247"/>
      <c r="GX17" s="247"/>
      <c r="GY17" s="247"/>
      <c r="GZ17" s="248"/>
      <c r="HA17" s="249" t="str">
        <f>AA17</f>
        <v/>
      </c>
      <c r="HB17" s="250"/>
      <c r="HC17" s="250"/>
      <c r="HD17" s="250"/>
      <c r="HE17" s="250"/>
      <c r="HF17" s="250"/>
      <c r="HG17" s="251"/>
      <c r="HH17" s="252" t="str">
        <f>AB17</f>
        <v/>
      </c>
      <c r="HI17" s="250"/>
      <c r="HJ17" s="250"/>
      <c r="HK17" s="250"/>
      <c r="HL17" s="250"/>
      <c r="HM17" s="250"/>
      <c r="HN17" s="253"/>
      <c r="HO17" s="49" t="str">
        <f>IF(E17="","",IF(J17=1000,11,IF(J17=-1000,0,IF(J17&gt;0,11,IF(J17&lt;0,(-J17),"0")))))</f>
        <v/>
      </c>
      <c r="HP17" s="50" t="str">
        <f>IF(E17="","",IF(J17=1000,0,IF(J17=-1000,11,IF(J17&lt;-9,-(J17-2),IF(J17&gt;0,(GU17),"0")))))</f>
        <v/>
      </c>
      <c r="HQ17" s="51" t="str">
        <f>IF(E17="","",IF(J17=1000,11,IF(J17=-1000,0,IF(J17&lt;9,11,IF(J17&gt;9,(J17+2),"0")))))</f>
        <v/>
      </c>
      <c r="HR17" s="52" t="str">
        <f>IF(E17="","",IF(J17=1000,0,IF(J17=-1000,11,IF(J17&lt;0,11,IF(J17&gt;0,(J17),"0")))))</f>
        <v/>
      </c>
      <c r="HS17" s="53" t="str">
        <f>IF(F17="","",IF(K17=1000,11,IF(K17=-1000,0,IF(K17&gt;0,11,IF(K17&lt;0,(-K17),"0")))))</f>
        <v/>
      </c>
      <c r="HT17" s="53" t="str">
        <f>IF(F17="","",IF(K17=1000,0,IF(K17=-1000,11,IF(K17&lt;-9,-(K17-2),IF(K17&gt;0,(GV17),"0")))))</f>
        <v/>
      </c>
      <c r="HU17" s="54" t="str">
        <f>IF(F17="","",IF(K17=1000,11,IF(K17=-1000,0,IF(K17&lt;9,11,IF(K17&gt;9,(K17+2),"0")))))</f>
        <v/>
      </c>
      <c r="HV17" s="54" t="str">
        <f>IF(F17="","",IF(K17=1000,0,IF(K17=-1000,11,IF(K17&lt;0,11,IF(K17&gt;0,(K17),"0")))))</f>
        <v/>
      </c>
      <c r="HW17" s="49" t="str">
        <f>IF(G17="","",IF(L17=1000,11,IF(L17=-1000,0,IF(L17&gt;0,11,IF(L17&lt;0,(-L17),"0")))))</f>
        <v/>
      </c>
      <c r="HX17" s="50" t="str">
        <f>IF(G17="","",IF(L17=1000,0,IF(L17=-1000,11,IF(L17&lt;-9,-(L17-2),IF(L17&gt;0,(GW17),"0")))))</f>
        <v/>
      </c>
      <c r="HY17" s="51" t="str">
        <f>IF(G17="","",IF(L17=1000,11,IF(L17=-1000,0,IF(L17&lt;9,11,IF(L17&gt;9,(L17+2),"0")))))</f>
        <v/>
      </c>
      <c r="HZ17" s="52" t="str">
        <f>IF(G17="","",IF(L17=1000,0,IF(L17=-1000,11,IF(L17&lt;0,11,IF(L17&gt;0,(L17),"0")))))</f>
        <v/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 t="str">
        <f>IF(E17="","",EO17*1)</f>
        <v/>
      </c>
      <c r="IJ17" s="56" t="str">
        <f>IF(F17="","",EY17*1)</f>
        <v/>
      </c>
      <c r="IK17" s="56" t="str">
        <f>IF(G17="","",FI17*1)</f>
        <v/>
      </c>
      <c r="IL17" s="56" t="str">
        <f>IF(H17="","",FS17*1)</f>
        <v/>
      </c>
      <c r="IM17" s="56" t="str">
        <f>IF(I17="","",GC17*1)</f>
        <v/>
      </c>
      <c r="IN17" s="57" t="str">
        <f>IF(E17="","",EU17*1)</f>
        <v/>
      </c>
      <c r="IO17" s="57" t="str">
        <f>IF(F17="","",FE17*1)</f>
        <v/>
      </c>
      <c r="IP17" s="57" t="str">
        <f>IF(G17="","",FO17*1)</f>
        <v/>
      </c>
      <c r="IQ17" s="57" t="str">
        <f>IF(H17="","",FY17*1)</f>
        <v/>
      </c>
      <c r="IR17" s="57" t="str">
        <f>IF(I17="","",GI17*1)</f>
        <v/>
      </c>
      <c r="IS17" s="58" t="str">
        <f>IF(E17="","",SUM(II17:IM17))</f>
        <v/>
      </c>
      <c r="IT17" s="58" t="str">
        <f>IF(E17="","",SUM(IN17:IR17))</f>
        <v/>
      </c>
    </row>
    <row r="18" spans="1:254" ht="30" customHeight="1" x14ac:dyDescent="0.2">
      <c r="A18" s="39" t="s">
        <v>36</v>
      </c>
      <c r="B18" s="40">
        <v>82</v>
      </c>
      <c r="C18" s="41" t="s">
        <v>37</v>
      </c>
      <c r="D18" s="40"/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Орбакас Антон Эдуардесович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81</v>
      </c>
      <c r="C19" s="41" t="s">
        <v>34</v>
      </c>
      <c r="D19" s="59">
        <f>IF(D17=0,"",D17)</f>
        <v>94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Пыльник Данил Александрович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Чекалов Дмитрий Геннадьевич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83</v>
      </c>
      <c r="C20" s="41" t="s">
        <v>35</v>
      </c>
      <c r="D20" s="59">
        <f>IF(D16=0,"",D16)</f>
        <v>92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Лойко Максим Александрович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Чекалов Никита Геннадьевич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 t="str">
        <f>IF(E16="","",SUM(GM16:GS20))</f>
        <v/>
      </c>
      <c r="GN21" s="222"/>
      <c r="GO21" s="222"/>
      <c r="GP21" s="222"/>
      <c r="GQ21" s="222"/>
      <c r="GR21" s="222"/>
      <c r="GS21" s="223"/>
      <c r="GT21" s="224" t="str">
        <f>IF(E16="","",SUM(GT16:GZ20))</f>
        <v/>
      </c>
      <c r="GU21" s="225"/>
      <c r="GV21" s="225"/>
      <c r="GW21" s="225"/>
      <c r="GX21" s="225"/>
      <c r="GY21" s="225"/>
      <c r="GZ21" s="226"/>
      <c r="HA21" s="227" t="str">
        <f>IF(E16="","",SUM(HA16:HG20))</f>
        <v/>
      </c>
      <c r="HB21" s="228"/>
      <c r="HC21" s="228"/>
      <c r="HD21" s="228"/>
      <c r="HE21" s="228"/>
      <c r="HF21" s="228"/>
      <c r="HG21" s="229"/>
      <c r="HH21" s="230" t="str">
        <f>IF(E16="","",SUM(HH16:HN20))</f>
        <v/>
      </c>
      <c r="HI21" s="228"/>
      <c r="HJ21" s="228"/>
      <c r="HK21" s="228"/>
      <c r="HL21" s="228"/>
      <c r="HM21" s="228"/>
      <c r="HN21" s="231"/>
      <c r="IS21" s="64" t="str">
        <f>IF(E16="","",SUM(IS16:IS20))</f>
        <v/>
      </c>
      <c r="IT21" s="65" t="str">
        <f>IF(E16="","",SUM(IT16:IT20))</f>
        <v/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40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«СШ №3(1)»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"Спортшкола - Юноши" г.Ялта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82</v>
      </c>
      <c r="F57" s="481"/>
      <c r="G57" s="9"/>
      <c r="H57" s="480">
        <f>C2</f>
        <v>91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83</v>
      </c>
      <c r="F58" s="481"/>
      <c r="G58" s="9"/>
      <c r="H58" s="480">
        <f>C4</f>
        <v>93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86</v>
      </c>
      <c r="F59" s="481"/>
      <c r="G59" s="9"/>
      <c r="H59" s="480">
        <f>C7</f>
        <v>96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87</v>
      </c>
      <c r="F60" s="481"/>
      <c r="G60" s="9"/>
      <c r="H60" s="480">
        <f>C8</f>
        <v>97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88</v>
      </c>
      <c r="F61" s="481"/>
      <c r="G61" s="9"/>
      <c r="H61" s="480">
        <f>C9</f>
        <v>98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89</v>
      </c>
      <c r="F62" s="481"/>
      <c r="G62" s="9"/>
      <c r="H62" s="480">
        <f>1+H61</f>
        <v>99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90</v>
      </c>
      <c r="F63" s="481"/>
      <c r="G63" s="9"/>
      <c r="H63" s="480">
        <f>1+H62</f>
        <v>100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91</v>
      </c>
      <c r="F64" s="481"/>
      <c r="G64" s="9"/>
      <c r="H64" s="480">
        <f>1+H63</f>
        <v>101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92</v>
      </c>
      <c r="F65" s="481"/>
      <c r="G65" s="9"/>
      <c r="H65" s="480">
        <f>1+H64</f>
        <v>102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93</v>
      </c>
      <c r="F66" s="481"/>
      <c r="G66" s="9"/>
      <c r="H66" s="480">
        <f>1+H65</f>
        <v>103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1:IU102"/>
  <sheetViews>
    <sheetView zoomScale="50" zoomScaleNormal="50" zoomScaleSheetLayoutView="40" workbookViewId="0">
      <selection activeCell="H19" sqref="H19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«Аэропорт - СШ №3» г.Симферополь</v>
      </c>
      <c r="B1" s="576"/>
      <c r="C1" s="577" t="str">
        <f>IF(D11="","",VLOOKUP(D11,Список!B:O,12,FALSE))</f>
        <v>"РУСИЧИ" г.Симферополь</v>
      </c>
      <c r="D1" s="578"/>
      <c r="E1" s="579">
        <v>41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21</v>
      </c>
      <c r="B2" s="13" t="str">
        <f>IF(A2="","",VLOOKUP(A2,Список!E:O,2,FALSE))</f>
        <v xml:space="preserve"> Павлина Сергей Станиславович</v>
      </c>
      <c r="C2" s="14">
        <f>IF($B$11="","",$D$11*10+1)</f>
        <v>11</v>
      </c>
      <c r="D2" s="15" t="str">
        <f>IF(C2="","",VLOOKUP(C2,Список!E:O,2,FALSE))</f>
        <v xml:space="preserve"> Кривошеев Вячеслав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22</v>
      </c>
      <c r="B3" s="13" t="str">
        <f>IF(A3="","",VLOOKUP(A3,Список!E:O,2,FALSE))</f>
        <v xml:space="preserve"> Банников Юрий Владимирович</v>
      </c>
      <c r="C3" s="14">
        <f>IF($B$11="","",$D$11*10+2)</f>
        <v>12</v>
      </c>
      <c r="D3" s="15" t="str">
        <f>IF(C3="","",VLOOKUP(C3,Список!E:O,2,FALSE))</f>
        <v xml:space="preserve"> Панченко Артем Иванович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23</v>
      </c>
      <c r="B4" s="13" t="str">
        <f>IF(A4="","",VLOOKUP(A4,Список!E:O,2,FALSE))</f>
        <v xml:space="preserve"> Лодыгин Владимир Вадимович</v>
      </c>
      <c r="C4" s="14">
        <f>IF($B$11="","",$D$11*10+3)</f>
        <v>13</v>
      </c>
      <c r="D4" s="15" t="str">
        <f>IF(C4="","",VLOOKUP(C4,Список!E:O,2,FALSE))</f>
        <v xml:space="preserve"> Исаков Илья Павлович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24</v>
      </c>
      <c r="B5" s="13" t="str">
        <f>IF(A5="","",VLOOKUP(A5,Список!E:O,2,FALSE))</f>
        <v xml:space="preserve"> Соловей Юрий Анатольевич</v>
      </c>
      <c r="C5" s="14">
        <f>IF($B$11="","",$D$11*10+4)</f>
        <v>14</v>
      </c>
      <c r="D5" s="15" t="str">
        <f>IF(C5="","",VLOOKUP(C5,Список!E:O,2,FALSE))</f>
        <v xml:space="preserve"> Масовер Андрей Ромазанович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25</v>
      </c>
      <c r="B6" s="13" t="str">
        <f>IF(A6="","",VLOOKUP(A6,Список!E:O,2,FALSE))</f>
        <v>-</v>
      </c>
      <c r="C6" s="14">
        <f>IF($B$11="","",$D$11*10+5)</f>
        <v>15</v>
      </c>
      <c r="D6" s="15" t="str">
        <f>IF(C6="","",VLOOKUP(C6,Список!E:O,2,FALSE))</f>
        <v xml:space="preserve"> Губанов Никита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26</v>
      </c>
      <c r="B7" s="13" t="str">
        <f>IF(A7="","",VLOOKUP(A7,Список!E:O,2,FALSE))</f>
        <v>-</v>
      </c>
      <c r="C7" s="14">
        <f>IF($B$11="","",$D$11*10+6)</f>
        <v>16</v>
      </c>
      <c r="D7" s="15" t="str">
        <f>IF(C7="","",VLOOKUP(C7,Список!E:O,2,FALSE))</f>
        <v xml:space="preserve"> Зайцев Игорь Владимирович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27</v>
      </c>
      <c r="B8" s="13" t="str">
        <f>IF(A8="","",VLOOKUP(A8,Список!E:O,2,FALSE))</f>
        <v>-</v>
      </c>
      <c r="C8" s="14">
        <f>IF($B$11="","",$D$11*10+7)</f>
        <v>17</v>
      </c>
      <c r="D8" s="15" t="str">
        <f>IF(C8="","",VLOOKUP(C8,Список!E:O,2,FALSE))</f>
        <v xml:space="preserve"> Щепетнев Дмитрий Владимирович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"РУСИЧИ"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«Аэропорт - СШ №3»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28</v>
      </c>
      <c r="B9" s="13" t="str">
        <f>IF(A9="","",VLOOKUP(A9,Список!E:O,2,FALSE))</f>
        <v>-</v>
      </c>
      <c r="C9" s="14">
        <f>IF($B$11="","",$D$11*10+8)</f>
        <v>18</v>
      </c>
      <c r="D9" s="15" t="str">
        <f>IF(C9="","",VLOOKUP(C9,Список!E:O,2,FALSE))</f>
        <v xml:space="preserve"> Панков Леонид Александрович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2</v>
      </c>
      <c r="C11" s="27" t="s">
        <v>18</v>
      </c>
      <c r="D11" s="29">
        <f>IF(B11="","",IF(B11=A13,C13,IF(B11=C13,A13,)))</f>
        <v>1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«Аэропорт - СШ №3»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"РУСИЧИ"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D12" s="25">
        <f>IF(B11="","",D11*10)</f>
        <v>10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</v>
      </c>
      <c r="B13" s="566"/>
      <c r="C13" s="565">
        <f>IF($E$1="","",VLOOKUP($E$1,'Общее расписание'!$B:$V,3,FALSE))</f>
        <v>2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Банников Ю.В.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Панков Л.А.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9, встреча 41, 1 - 2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41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22</v>
      </c>
      <c r="C16" s="41" t="s">
        <v>35</v>
      </c>
      <c r="D16" s="40">
        <v>17</v>
      </c>
      <c r="E16" s="42" t="s">
        <v>172</v>
      </c>
      <c r="F16" s="42" t="s">
        <v>179</v>
      </c>
      <c r="G16" s="42" t="s">
        <v>181</v>
      </c>
      <c r="H16" s="42"/>
      <c r="I16" s="42"/>
      <c r="J16" s="43">
        <f>IF(E16="","",IF(E16="0",1000,IF(E16="-0",-1000,E16*1)))</f>
        <v>-5</v>
      </c>
      <c r="K16" s="43">
        <f>IF(F16="","",IF(F16="0",1000,IF(F16="-0",-1000,F16*1)))</f>
        <v>-12</v>
      </c>
      <c r="L16" s="43">
        <f>IF(G16="","",IF(G16="0",1000,IF(G16="-0",-1000,G16*1)))</f>
        <v>-14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Банников Юрий Владимирович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Щепетнев Дмитрий Владимирович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5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12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14</v>
      </c>
      <c r="FF16" s="320"/>
      <c r="FG16" s="320"/>
      <c r="FH16" s="321"/>
      <c r="FI16" s="322">
        <f>IF(G16="","",IF(L16&gt;9,HY16,HW16))</f>
        <v>14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16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5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12</v>
      </c>
      <c r="HT16" s="53">
        <f>IF(F16="","",IF(K16=1000,0,IF(K16=-1000,11,IF(K16&lt;-9,-(K16-2),IF(K16&gt;0,(GV16),"0")))))</f>
        <v>14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14</v>
      </c>
      <c r="HX16" s="50">
        <f>IF(G16="","",IF(L16=1000,0,IF(L16=-1000,11,IF(L16&lt;-9,-(L16-2),IF(L16&gt;0,(GW16),"0")))))</f>
        <v>16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5</v>
      </c>
      <c r="IJ16" s="56">
        <f>IF(F16="","",EY16*1)</f>
        <v>12</v>
      </c>
      <c r="IK16" s="56">
        <f>IF(G16="","",FI16*1)</f>
        <v>14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14</v>
      </c>
      <c r="IP16" s="57">
        <f>IF(G16="","",FO16*1)</f>
        <v>16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31</v>
      </c>
      <c r="IT16" s="58">
        <f>IF(E16="","",SUM(IN16:IR16))</f>
        <v>41</v>
      </c>
    </row>
    <row r="17" spans="1:254" ht="30" customHeight="1" x14ac:dyDescent="0.35">
      <c r="A17" s="39" t="s">
        <v>18</v>
      </c>
      <c r="B17" s="40">
        <v>21</v>
      </c>
      <c r="C17" s="41" t="s">
        <v>34</v>
      </c>
      <c r="D17" s="40">
        <v>11</v>
      </c>
      <c r="E17" s="42" t="s">
        <v>152</v>
      </c>
      <c r="F17" s="42" t="s">
        <v>171</v>
      </c>
      <c r="G17" s="42" t="s">
        <v>172</v>
      </c>
      <c r="H17" s="42"/>
      <c r="I17" s="42"/>
      <c r="J17" s="43">
        <f t="shared" ref="J17:N20" si="2">IF(E17="","",IF(E17="0",1000,IF(E17="-0",-1000,E17*1)))</f>
        <v>-7</v>
      </c>
      <c r="K17" s="43">
        <f t="shared" si="2"/>
        <v>-6</v>
      </c>
      <c r="L17" s="43">
        <f t="shared" si="2"/>
        <v>-5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Павлина Сергей Станиславович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Кривошеев Вячеслав Александрович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7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6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5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7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6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5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7</v>
      </c>
      <c r="IJ17" s="56">
        <f>IF(F17="","",EY17*1)</f>
        <v>6</v>
      </c>
      <c r="IK17" s="56">
        <f>IF(G17="","",FI17*1)</f>
        <v>5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18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23</v>
      </c>
      <c r="C18" s="41" t="s">
        <v>37</v>
      </c>
      <c r="D18" s="40">
        <v>16</v>
      </c>
      <c r="E18" s="42" t="s">
        <v>153</v>
      </c>
      <c r="F18" s="42" t="s">
        <v>154</v>
      </c>
      <c r="G18" s="42" t="s">
        <v>155</v>
      </c>
      <c r="H18" s="42"/>
      <c r="I18" s="42"/>
      <c r="J18" s="43">
        <f t="shared" si="2"/>
        <v>7</v>
      </c>
      <c r="K18" s="43">
        <f t="shared" si="2"/>
        <v>6</v>
      </c>
      <c r="L18" s="43">
        <f t="shared" si="2"/>
        <v>5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Лодыгин Владимир Вадимович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Зайцев Игорь Владимирович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7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6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5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7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6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5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7</v>
      </c>
      <c r="IO18" s="57">
        <f>IF(F18="","",FE18*1)</f>
        <v>6</v>
      </c>
      <c r="IP18" s="57">
        <f>IF(G18="","",FO18*1)</f>
        <v>5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18</v>
      </c>
    </row>
    <row r="19" spans="1:254" ht="30" customHeight="1" x14ac:dyDescent="0.2">
      <c r="A19" s="39" t="s">
        <v>17</v>
      </c>
      <c r="B19" s="59">
        <f>IF(B16=0,"",B16)</f>
        <v>22</v>
      </c>
      <c r="C19" s="41" t="s">
        <v>34</v>
      </c>
      <c r="D19" s="59">
        <f>IF(D17=0,"",D17)</f>
        <v>11</v>
      </c>
      <c r="E19" s="42" t="s">
        <v>171</v>
      </c>
      <c r="F19" s="42" t="s">
        <v>172</v>
      </c>
      <c r="G19" s="42" t="s">
        <v>152</v>
      </c>
      <c r="H19" s="42"/>
      <c r="I19" s="42"/>
      <c r="J19" s="43">
        <f t="shared" si="2"/>
        <v>-6</v>
      </c>
      <c r="K19" s="43">
        <f t="shared" si="2"/>
        <v>-5</v>
      </c>
      <c r="L19" s="43">
        <f t="shared" si="2"/>
        <v>-7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Банников Юрий Владимирович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Кривошеев Вячеслав Александрович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6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5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7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6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5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7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6</v>
      </c>
      <c r="IJ19" s="56">
        <f>IF(F19="","",EY19*1)</f>
        <v>5</v>
      </c>
      <c r="IK19" s="56">
        <f>IF(G19="","",FI19*1)</f>
        <v>7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18</v>
      </c>
      <c r="IT19" s="58">
        <f>IF(E19="","",SUM(IN19:IR19))</f>
        <v>33</v>
      </c>
    </row>
    <row r="20" spans="1:254" ht="30" customHeight="1" thickBot="1" x14ac:dyDescent="0.4">
      <c r="A20" s="39" t="s">
        <v>18</v>
      </c>
      <c r="B20" s="59">
        <f>IF(B17=0,"",B17)</f>
        <v>21</v>
      </c>
      <c r="C20" s="41" t="s">
        <v>35</v>
      </c>
      <c r="D20" s="59">
        <f>IF(D16=0,"",D16)</f>
        <v>17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Павлина Сергей Станиславович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Щепетнев Дмитрий Владимирович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3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100</v>
      </c>
      <c r="IT21" s="65">
        <f>IF(E16="","",SUM(IT16:IT20))</f>
        <v>125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41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«Аэропорт - СШ №3»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"РУСИЧИ"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22</v>
      </c>
      <c r="F57" s="481"/>
      <c r="G57" s="9"/>
      <c r="H57" s="480">
        <f>C2</f>
        <v>11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23</v>
      </c>
      <c r="F58" s="481"/>
      <c r="G58" s="9"/>
      <c r="H58" s="480">
        <f>C4</f>
        <v>13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26</v>
      </c>
      <c r="F59" s="481"/>
      <c r="G59" s="9"/>
      <c r="H59" s="480">
        <f>C7</f>
        <v>16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27</v>
      </c>
      <c r="F60" s="481"/>
      <c r="G60" s="9"/>
      <c r="H60" s="480">
        <f>C8</f>
        <v>17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28</v>
      </c>
      <c r="F61" s="481"/>
      <c r="G61" s="9"/>
      <c r="H61" s="480">
        <f>C9</f>
        <v>18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29</v>
      </c>
      <c r="F62" s="481"/>
      <c r="G62" s="9"/>
      <c r="H62" s="480">
        <f>1+H61</f>
        <v>19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30</v>
      </c>
      <c r="F63" s="481"/>
      <c r="G63" s="9"/>
      <c r="H63" s="480">
        <f>1+H62</f>
        <v>20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31</v>
      </c>
      <c r="F64" s="481"/>
      <c r="G64" s="9"/>
      <c r="H64" s="480">
        <f>1+H63</f>
        <v>21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32</v>
      </c>
      <c r="F65" s="481"/>
      <c r="G65" s="9"/>
      <c r="H65" s="480">
        <f>1+H64</f>
        <v>22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33</v>
      </c>
      <c r="F66" s="481"/>
      <c r="G66" s="9"/>
      <c r="H66" s="480">
        <f>1+H65</f>
        <v>23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  <pageSetUpPr fitToPage="1"/>
  </sheetPr>
  <dimension ref="A1:IU102"/>
  <sheetViews>
    <sheetView zoomScale="50" zoomScaleNormal="50" zoomScaleSheetLayoutView="40" workbookViewId="0">
      <selection activeCell="B12" sqref="B12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«Интер»  г.Евпатория</v>
      </c>
      <c r="B1" s="576"/>
      <c r="C1" s="577" t="str">
        <f>IF(D11="","",VLOOKUP(D11,Список!B:O,12,FALSE))</f>
        <v>«Дрим Тим» г.Симферополь</v>
      </c>
      <c r="D1" s="578"/>
      <c r="E1" s="579">
        <v>42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31</v>
      </c>
      <c r="B2" s="13" t="str">
        <f>IF(A2="","",VLOOKUP(A2,Список!E:O,2,FALSE))</f>
        <v xml:space="preserve"> Сорбало Владислав Федорович</v>
      </c>
      <c r="C2" s="14">
        <f>IF($B$11="","",$D$11*10+1)</f>
        <v>41</v>
      </c>
      <c r="D2" s="15" t="str">
        <f>IF(C2="","",VLOOKUP(C2,Список!E:O,2,FALSE))</f>
        <v xml:space="preserve"> Гаврилов Денис Михайлович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32</v>
      </c>
      <c r="B3" s="13" t="str">
        <f>IF(A3="","",VLOOKUP(A3,Список!E:O,2,FALSE))</f>
        <v xml:space="preserve"> Каулик Алексей Сергеевич</v>
      </c>
      <c r="C3" s="14">
        <f>IF($B$11="","",$D$11*10+2)</f>
        <v>42</v>
      </c>
      <c r="D3" s="15" t="str">
        <f>IF(C3="","",VLOOKUP(C3,Список!E:O,2,FALSE))</f>
        <v xml:space="preserve"> Курило Игорь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33</v>
      </c>
      <c r="B4" s="13" t="str">
        <f>IF(A4="","",VLOOKUP(A4,Список!E:O,2,FALSE))</f>
        <v xml:space="preserve"> Скрипин Василий Иванович</v>
      </c>
      <c r="C4" s="14">
        <f>IF($B$11="","",$D$11*10+3)</f>
        <v>43</v>
      </c>
      <c r="D4" s="15" t="str">
        <f>IF(C4="","",VLOOKUP(C4,Список!E:O,2,FALSE))</f>
        <v xml:space="preserve"> Длугоканский Андрей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34</v>
      </c>
      <c r="B5" s="13" t="str">
        <f>IF(A5="","",VLOOKUP(A5,Список!E:O,2,FALSE))</f>
        <v xml:space="preserve"> Сыч Станислав Викторович</v>
      </c>
      <c r="C5" s="14">
        <f>IF($B$11="","",$D$11*10+4)</f>
        <v>44</v>
      </c>
      <c r="D5" s="15" t="str">
        <f>IF(C5="","",VLOOKUP(C5,Список!E:O,2,FALSE))</f>
        <v xml:space="preserve"> Полтев Данил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35</v>
      </c>
      <c r="B6" s="13" t="str">
        <f>IF(A6="","",VLOOKUP(A6,Список!E:O,2,FALSE))</f>
        <v xml:space="preserve"> Марусич Дмитрий Олегович</v>
      </c>
      <c r="C6" s="14">
        <f>IF($B$11="","",$D$11*10+5)</f>
        <v>45</v>
      </c>
      <c r="D6" s="15" t="str">
        <f>IF(C6="","",VLOOKUP(C6,Список!E:O,2,FALSE))</f>
        <v xml:space="preserve"> Ткаченко Владимир Михайлович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36</v>
      </c>
      <c r="B7" s="13" t="str">
        <f>IF(A7="","",VLOOKUP(A7,Список!E:O,2,FALSE))</f>
        <v xml:space="preserve"> Кафиев Артур Рафаилович</v>
      </c>
      <c r="C7" s="14">
        <f>IF($B$11="","",$D$11*10+6)</f>
        <v>46</v>
      </c>
      <c r="D7" s="15" t="str">
        <f>IF(C7="","",VLOOKUP(C7,Список!E:O,2,FALSE))</f>
        <v xml:space="preserve"> Животов Дмитрий Викторович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37</v>
      </c>
      <c r="B8" s="13" t="str">
        <f>IF(A8="","",VLOOKUP(A8,Список!E:O,2,FALSE))</f>
        <v xml:space="preserve"> Калинин Илья Валерьевич</v>
      </c>
      <c r="C8" s="14">
        <f>IF($B$11="","",$D$11*10+7)</f>
        <v>47</v>
      </c>
      <c r="D8" s="15" t="str">
        <f>IF(C8="","",VLOOKUP(C8,Список!E:O,2,FALSE))</f>
        <v xml:space="preserve"> Скоробогатов Евгений Петрович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«Интер»  г.Евпатория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«Дрим Тим»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38</v>
      </c>
      <c r="B9" s="13" t="str">
        <f>IF(A9="","",VLOOKUP(A9,Список!E:O,2,FALSE))</f>
        <v xml:space="preserve"> Скрипин Иван Васильевич</v>
      </c>
      <c r="C9" s="14">
        <f>IF($B$11="","",$D$11*10+8)</f>
        <v>48</v>
      </c>
      <c r="D9" s="15" t="str">
        <f>IF(C9="","",VLOOKUP(C9,Список!E:O,2,FALSE))</f>
        <v xml:space="preserve"> Скоробогатов Александр Евгеньевич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3</v>
      </c>
      <c r="C11" s="27" t="s">
        <v>18</v>
      </c>
      <c r="D11" s="29">
        <f>IF(B11="","",IF(B11=A13,C13,IF(B11=C13,A13,)))</f>
        <v>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«Интер»  г.Евпатория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«Дрим Тим»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30</v>
      </c>
      <c r="D12" s="25">
        <f>IF(B11="","",D11*10)</f>
        <v>40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3</v>
      </c>
      <c r="B13" s="566"/>
      <c r="C13" s="565">
        <f>IF($E$1="","",VLOOKUP($E$1,'Общее расписание'!$B:$V,3,FALSE))</f>
        <v>4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Хилик К.А., Скрипин В.И.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Скоробогатов Е.П.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9, встреча 42, 3 - 4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42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32</v>
      </c>
      <c r="C16" s="41" t="s">
        <v>35</v>
      </c>
      <c r="D16" s="40">
        <v>43</v>
      </c>
      <c r="E16" s="42" t="s">
        <v>171</v>
      </c>
      <c r="F16" s="42" t="s">
        <v>153</v>
      </c>
      <c r="G16" s="42" t="s">
        <v>166</v>
      </c>
      <c r="H16" s="42" t="s">
        <v>155</v>
      </c>
      <c r="I16" s="42"/>
      <c r="J16" s="43">
        <f>IF(E16="","",IF(E16="0",1000,IF(E16="-0",-1000,E16*1)))</f>
        <v>-6</v>
      </c>
      <c r="K16" s="43">
        <f>IF(F16="","",IF(F16="0",1000,IF(F16="-0",-1000,F16*1)))</f>
        <v>7</v>
      </c>
      <c r="L16" s="43">
        <f>IF(G16="","",IF(G16="0",1000,IF(G16="-0",-1000,G16*1)))</f>
        <v>8</v>
      </c>
      <c r="M16" s="43">
        <f>IF(H16="","",IF(H16="0",1000,IF(H16="-0",-1000,H16*1)))</f>
        <v>5</v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1</v>
      </c>
      <c r="R16" s="44">
        <f t="shared" si="0"/>
        <v>1</v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0</v>
      </c>
      <c r="W16" s="45">
        <f t="shared" si="1"/>
        <v>0</v>
      </c>
      <c r="X16" s="45" t="str">
        <f t="shared" si="1"/>
        <v/>
      </c>
      <c r="Y16" s="46">
        <f>IF(E16="","",SUM(O16:S16))</f>
        <v>3</v>
      </c>
      <c r="Z16" s="46">
        <f>IF(E16="","",SUM(T16:X16))</f>
        <v>1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Каулик Алексей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Длугоканский Андрей Александрович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6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7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8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5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1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6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7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8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5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6</v>
      </c>
      <c r="IJ16" s="56">
        <f>IF(F16="","",EY16*1)</f>
        <v>11</v>
      </c>
      <c r="IK16" s="56">
        <f>IF(G16="","",FI16*1)</f>
        <v>11</v>
      </c>
      <c r="IL16" s="56">
        <f>IF(H16="","",FS16*1)</f>
        <v>11</v>
      </c>
      <c r="IM16" s="56" t="str">
        <f>IF(I16="","",GC16*1)</f>
        <v/>
      </c>
      <c r="IN16" s="57">
        <f>IF(E16="","",EU16*1)</f>
        <v>11</v>
      </c>
      <c r="IO16" s="57">
        <f>IF(F16="","",FE16*1)</f>
        <v>7</v>
      </c>
      <c r="IP16" s="57">
        <f>IF(G16="","",FO16*1)</f>
        <v>8</v>
      </c>
      <c r="IQ16" s="57">
        <f>IF(H16="","",FY16*1)</f>
        <v>5</v>
      </c>
      <c r="IR16" s="57" t="str">
        <f>IF(I16="","",GI16*1)</f>
        <v/>
      </c>
      <c r="IS16" s="58">
        <f>IF(E16="","",SUM(II16:IM16))</f>
        <v>39</v>
      </c>
      <c r="IT16" s="58">
        <f>IF(E16="","",SUM(IN16:IR16))</f>
        <v>31</v>
      </c>
    </row>
    <row r="17" spans="1:254" ht="30" customHeight="1" x14ac:dyDescent="0.35">
      <c r="A17" s="39" t="s">
        <v>18</v>
      </c>
      <c r="B17" s="40">
        <v>31</v>
      </c>
      <c r="C17" s="41" t="s">
        <v>34</v>
      </c>
      <c r="D17" s="40">
        <v>44</v>
      </c>
      <c r="E17" s="42" t="s">
        <v>166</v>
      </c>
      <c r="F17" s="42" t="s">
        <v>153</v>
      </c>
      <c r="G17" s="42" t="s">
        <v>157</v>
      </c>
      <c r="H17" s="42"/>
      <c r="I17" s="42"/>
      <c r="J17" s="43">
        <f t="shared" ref="J17:N20" si="2">IF(E17="","",IF(E17="0",1000,IF(E17="-0",-1000,E17*1)))</f>
        <v>8</v>
      </c>
      <c r="K17" s="43">
        <f t="shared" si="2"/>
        <v>7</v>
      </c>
      <c r="L17" s="43">
        <f t="shared" si="2"/>
        <v>9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Сорбало Владислав Федорович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Полтев Данил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8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7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9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8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7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 t="str">
        <f>IF(G17="","",IF(L17=1000,11,IF(L17=-1000,0,IF(L17&lt;9,11,IF(L17&gt;9,(L17+2),"0")))))</f>
        <v>0</v>
      </c>
      <c r="HZ17" s="52">
        <f>IF(G17="","",IF(L17=1000,0,IF(L17=-1000,11,IF(L17&lt;0,11,IF(L17&gt;0,(L17),"0")))))</f>
        <v>9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8</v>
      </c>
      <c r="IO17" s="57">
        <f>IF(F17="","",FE17*1)</f>
        <v>7</v>
      </c>
      <c r="IP17" s="57">
        <f>IF(G17="","",FO17*1)</f>
        <v>9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24</v>
      </c>
    </row>
    <row r="18" spans="1:254" ht="30" customHeight="1" x14ac:dyDescent="0.2">
      <c r="A18" s="39" t="s">
        <v>36</v>
      </c>
      <c r="B18" s="40">
        <v>34</v>
      </c>
      <c r="C18" s="41" t="s">
        <v>37</v>
      </c>
      <c r="D18" s="40">
        <v>45</v>
      </c>
      <c r="E18" s="42" t="s">
        <v>152</v>
      </c>
      <c r="F18" s="42" t="s">
        <v>172</v>
      </c>
      <c r="G18" s="42" t="s">
        <v>172</v>
      </c>
      <c r="H18" s="42"/>
      <c r="I18" s="42"/>
      <c r="J18" s="43">
        <f t="shared" si="2"/>
        <v>-7</v>
      </c>
      <c r="K18" s="43">
        <f t="shared" si="2"/>
        <v>-5</v>
      </c>
      <c r="L18" s="43">
        <f t="shared" si="2"/>
        <v>-5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Сыч Станислав Викторович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Ткаченко Владимир Михайлович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7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5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5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7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5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5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7</v>
      </c>
      <c r="IJ18" s="56">
        <f>IF(F18="","",EY18*1)</f>
        <v>5</v>
      </c>
      <c r="IK18" s="56">
        <f>IF(G18="","",FI18*1)</f>
        <v>5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17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32</v>
      </c>
      <c r="C19" s="41" t="s">
        <v>34</v>
      </c>
      <c r="D19" s="59">
        <f>IF(D17=0,"",D17)</f>
        <v>44</v>
      </c>
      <c r="E19" s="42" t="s">
        <v>157</v>
      </c>
      <c r="F19" s="42" t="s">
        <v>156</v>
      </c>
      <c r="G19" s="42" t="s">
        <v>152</v>
      </c>
      <c r="H19" s="42" t="s">
        <v>172</v>
      </c>
      <c r="I19" s="42"/>
      <c r="J19" s="43">
        <f t="shared" si="2"/>
        <v>9</v>
      </c>
      <c r="K19" s="43">
        <f t="shared" si="2"/>
        <v>-9</v>
      </c>
      <c r="L19" s="43">
        <f t="shared" si="2"/>
        <v>-7</v>
      </c>
      <c r="M19" s="43">
        <f t="shared" si="2"/>
        <v>-5</v>
      </c>
      <c r="N19" s="43" t="str">
        <f t="shared" si="2"/>
        <v/>
      </c>
      <c r="O19" s="44">
        <f>IF(J19="","",IF(J19&gt;0,1,0))</f>
        <v>1</v>
      </c>
      <c r="P19" s="44">
        <f t="shared" si="0"/>
        <v>0</v>
      </c>
      <c r="Q19" s="44">
        <f t="shared" si="0"/>
        <v>0</v>
      </c>
      <c r="R19" s="44">
        <f t="shared" si="0"/>
        <v>0</v>
      </c>
      <c r="S19" s="44" t="str">
        <f t="shared" si="0"/>
        <v/>
      </c>
      <c r="T19" s="45">
        <f t="shared" si="1"/>
        <v>0</v>
      </c>
      <c r="U19" s="45">
        <f t="shared" si="1"/>
        <v>1</v>
      </c>
      <c r="V19" s="45">
        <f t="shared" si="1"/>
        <v>1</v>
      </c>
      <c r="W19" s="45">
        <f t="shared" si="1"/>
        <v>1</v>
      </c>
      <c r="X19" s="45" t="str">
        <f t="shared" si="1"/>
        <v/>
      </c>
      <c r="Y19" s="46">
        <f>IF(E19="","",SUM(O19:S19))</f>
        <v>1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Каулик Алексей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Полтев Данил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11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9</v>
      </c>
      <c r="EV19" s="255"/>
      <c r="EW19" s="255"/>
      <c r="EX19" s="256"/>
      <c r="EY19" s="257">
        <f>IF(F19="","",IF(K19&gt;9,HU19,HS19))</f>
        <v>9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7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>
        <f>IF(H19="","",IF(M19&gt;9,IC19,IA19))</f>
        <v>5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11</v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1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 t="str">
        <f>IF(E19="","",IF(J19=1000,11,IF(J19=-1000,0,IF(J19&lt;9,11,IF(J19&gt;9,(J19+2),"0")))))</f>
        <v>0</v>
      </c>
      <c r="HR19" s="52">
        <f>IF(E19="","",IF(J19=1000,0,IF(J19=-1000,11,IF(J19&lt;0,11,IF(J19&gt;0,(J19),"0")))))</f>
        <v>9</v>
      </c>
      <c r="HS19" s="53">
        <f>IF(F19="","",IF(K19=1000,11,IF(K19=-1000,0,IF(K19&gt;0,11,IF(K19&lt;0,(-K19),"0")))))</f>
        <v>9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7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>
        <f>IF(H19="","",IF(M19=1000,11,IF(M19=-1000,0,IF(M19&gt;0,11,IF(M19&lt;0,(-M19),"0")))))</f>
        <v>5</v>
      </c>
      <c r="IB19" s="53" t="str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11</v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11</v>
      </c>
      <c r="IJ19" s="56">
        <f>IF(F19="","",EY19*1)</f>
        <v>9</v>
      </c>
      <c r="IK19" s="56">
        <f>IF(G19="","",FI19*1)</f>
        <v>7</v>
      </c>
      <c r="IL19" s="56">
        <f>IF(H19="","",FS19*1)</f>
        <v>5</v>
      </c>
      <c r="IM19" s="56" t="str">
        <f>IF(I19="","",GC19*1)</f>
        <v/>
      </c>
      <c r="IN19" s="57">
        <f>IF(E19="","",EU19*1)</f>
        <v>9</v>
      </c>
      <c r="IO19" s="57">
        <f>IF(F19="","",FE19*1)</f>
        <v>11</v>
      </c>
      <c r="IP19" s="57">
        <f>IF(G19="","",FO19*1)</f>
        <v>11</v>
      </c>
      <c r="IQ19" s="57">
        <f>IF(H19="","",FY19*1)</f>
        <v>11</v>
      </c>
      <c r="IR19" s="57" t="str">
        <f>IF(I19="","",GI19*1)</f>
        <v/>
      </c>
      <c r="IS19" s="58">
        <f>IF(E19="","",SUM(II19:IM19))</f>
        <v>32</v>
      </c>
      <c r="IT19" s="58">
        <f>IF(E19="","",SUM(IN19:IR19))</f>
        <v>42</v>
      </c>
    </row>
    <row r="20" spans="1:254" ht="30" customHeight="1" thickBot="1" x14ac:dyDescent="0.4">
      <c r="A20" s="39" t="s">
        <v>18</v>
      </c>
      <c r="B20" s="59">
        <f>IF(B17=0,"",B17)</f>
        <v>31</v>
      </c>
      <c r="C20" s="41" t="s">
        <v>35</v>
      </c>
      <c r="D20" s="59">
        <f>IF(D16=0,"",D16)</f>
        <v>43</v>
      </c>
      <c r="E20" s="42" t="s">
        <v>154</v>
      </c>
      <c r="F20" s="42" t="s">
        <v>160</v>
      </c>
      <c r="G20" s="42" t="s">
        <v>160</v>
      </c>
      <c r="H20" s="42"/>
      <c r="I20" s="42"/>
      <c r="J20" s="43">
        <f t="shared" si="2"/>
        <v>6</v>
      </c>
      <c r="K20" s="43">
        <f t="shared" si="2"/>
        <v>3</v>
      </c>
      <c r="L20" s="43">
        <f t="shared" si="2"/>
        <v>3</v>
      </c>
      <c r="M20" s="43" t="str">
        <f t="shared" si="2"/>
        <v/>
      </c>
      <c r="N20" s="43" t="str">
        <f t="shared" si="2"/>
        <v/>
      </c>
      <c r="O20" s="44">
        <f>IF(J20="","",IF(J20&gt;0,1,0))</f>
        <v>1</v>
      </c>
      <c r="P20" s="44">
        <f t="shared" si="0"/>
        <v>1</v>
      </c>
      <c r="Q20" s="44">
        <f t="shared" si="0"/>
        <v>1</v>
      </c>
      <c r="R20" s="44" t="str">
        <f t="shared" si="0"/>
        <v/>
      </c>
      <c r="S20" s="44" t="str">
        <f t="shared" si="0"/>
        <v/>
      </c>
      <c r="T20" s="45">
        <f t="shared" si="1"/>
        <v>0</v>
      </c>
      <c r="U20" s="45">
        <f t="shared" si="1"/>
        <v>0</v>
      </c>
      <c r="V20" s="45">
        <f t="shared" si="1"/>
        <v>0</v>
      </c>
      <c r="W20" s="45" t="str">
        <f t="shared" si="1"/>
        <v/>
      </c>
      <c r="X20" s="45" t="str">
        <f t="shared" si="1"/>
        <v/>
      </c>
      <c r="Y20" s="46">
        <f>IF(E20="","",SUM(O20:S20))</f>
        <v>3</v>
      </c>
      <c r="Z20" s="46">
        <f>IF(E20="","",SUM(T20:X20))</f>
        <v>0</v>
      </c>
      <c r="AA20" s="47">
        <f>IF(E20="","",IF(Y20&gt;Z20,1,0))</f>
        <v>1</v>
      </c>
      <c r="AB20" s="48">
        <f>IF(E20="","",IF(Y20&lt;Z20,1,0))</f>
        <v>0</v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Сорбало Владислав Федорович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Длугоканский Андрей Александрович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>
        <f>IF(E20="","",IF(J20&gt;9,HQ20,HO20))</f>
        <v>11</v>
      </c>
      <c r="EP20" s="233"/>
      <c r="EQ20" s="233"/>
      <c r="ER20" s="233"/>
      <c r="ES20" s="245" t="str">
        <f>IF(EO20="","","-")</f>
        <v>-</v>
      </c>
      <c r="ET20" s="245"/>
      <c r="EU20" s="233">
        <f>IF(E20="","",IF(J20&lt;-9,HP20,HR20))</f>
        <v>6</v>
      </c>
      <c r="EV20" s="233"/>
      <c r="EW20" s="233"/>
      <c r="EX20" s="243"/>
      <c r="EY20" s="232">
        <f>IF(F20="","",IF(K20&gt;9,HU20,HS20))</f>
        <v>11</v>
      </c>
      <c r="EZ20" s="233"/>
      <c r="FA20" s="233"/>
      <c r="FB20" s="233"/>
      <c r="FC20" s="234" t="str">
        <f>IF(EY20="","","-")</f>
        <v>-</v>
      </c>
      <c r="FD20" s="234"/>
      <c r="FE20" s="233">
        <f>IF(F20="","",IF(K20&lt;-9,HT20,HV20))</f>
        <v>3</v>
      </c>
      <c r="FF20" s="233"/>
      <c r="FG20" s="233"/>
      <c r="FH20" s="243"/>
      <c r="FI20" s="232">
        <f>IF(G20="","",IF(L20&gt;9,HY20,HW20))</f>
        <v>11</v>
      </c>
      <c r="FJ20" s="233"/>
      <c r="FK20" s="233"/>
      <c r="FL20" s="233"/>
      <c r="FM20" s="234" t="str">
        <f>IF(FI20="","","-")</f>
        <v>-</v>
      </c>
      <c r="FN20" s="234"/>
      <c r="FO20" s="233">
        <f>IF(G20="","",IF(L20&lt;-9,HX20,HZ20))</f>
        <v>3</v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>
        <f>Y20</f>
        <v>3</v>
      </c>
      <c r="GN20" s="237"/>
      <c r="GO20" s="237"/>
      <c r="GP20" s="237"/>
      <c r="GQ20" s="237"/>
      <c r="GR20" s="237"/>
      <c r="GS20" s="238"/>
      <c r="GT20" s="239">
        <f>Z20</f>
        <v>0</v>
      </c>
      <c r="GU20" s="237"/>
      <c r="GV20" s="237"/>
      <c r="GW20" s="237"/>
      <c r="GX20" s="237"/>
      <c r="GY20" s="237"/>
      <c r="GZ20" s="240"/>
      <c r="HA20" s="241">
        <f>AA20</f>
        <v>1</v>
      </c>
      <c r="HB20" s="217"/>
      <c r="HC20" s="217"/>
      <c r="HD20" s="217"/>
      <c r="HE20" s="217"/>
      <c r="HF20" s="217"/>
      <c r="HG20" s="242"/>
      <c r="HH20" s="216">
        <f>AB20</f>
        <v>0</v>
      </c>
      <c r="HI20" s="217"/>
      <c r="HJ20" s="217"/>
      <c r="HK20" s="217"/>
      <c r="HL20" s="217"/>
      <c r="HM20" s="217"/>
      <c r="HN20" s="218"/>
      <c r="HO20" s="49">
        <f>IF(E20="","",IF(J20=1000,11,IF(J20=-1000,0,IF(J20&gt;0,11,IF(J20&lt;0,(-J20),"0")))))</f>
        <v>11</v>
      </c>
      <c r="HP20" s="50">
        <f>IF(E20="","",IF(J20=1000,0,IF(J20=-1000,11,IF(J20&lt;-9,-(J20-2),IF(J20&gt;0,(GU20),"0")))))</f>
        <v>0</v>
      </c>
      <c r="HQ20" s="51">
        <f>IF(E20="","",IF(J20=1000,11,IF(J20=-1000,0,IF(J20&lt;9,11,IF(J20&gt;9,(J20+2),"0")))))</f>
        <v>11</v>
      </c>
      <c r="HR20" s="52">
        <f>IF(E20="","",IF(J20=1000,0,IF(J20=-1000,11,IF(J20&lt;0,11,IF(J20&gt;0,(J20),"0")))))</f>
        <v>6</v>
      </c>
      <c r="HS20" s="53">
        <f>IF(F20="","",IF(K20=1000,11,IF(K20=-1000,0,IF(K20&gt;0,11,IF(K20&lt;0,(-K20),"0")))))</f>
        <v>11</v>
      </c>
      <c r="HT20" s="53">
        <f>IF(F20="","",IF(K20=1000,0,IF(K20=-1000,11,IF(K20&lt;-9,-(K20-2),IF(K20&gt;0,(GV20),"0")))))</f>
        <v>0</v>
      </c>
      <c r="HU20" s="54">
        <f>IF(F20="","",IF(K20=1000,11,IF(K20=-1000,0,IF(K20&lt;9,11,IF(K20&gt;9,(K20+2),"0")))))</f>
        <v>11</v>
      </c>
      <c r="HV20" s="54">
        <f>IF(F20="","",IF(K20=1000,0,IF(K20=-1000,11,IF(K20&lt;0,11,IF(K20&gt;0,(K20),"0")))))</f>
        <v>3</v>
      </c>
      <c r="HW20" s="49">
        <f>IF(G20="","",IF(L20=1000,11,IF(L20=-1000,0,IF(L20&gt;0,11,IF(L20&lt;0,(-L20),"0")))))</f>
        <v>11</v>
      </c>
      <c r="HX20" s="50">
        <f>IF(G20="","",IF(L20=1000,0,IF(L20=-1000,11,IF(L20&lt;-9,-(L20-2),IF(L20&gt;0,(GW20),"0")))))</f>
        <v>0</v>
      </c>
      <c r="HY20" s="51">
        <f>IF(G20="","",IF(L20=1000,11,IF(L20=-1000,0,IF(L20&lt;9,11,IF(L20&gt;9,(L20+2),"0")))))</f>
        <v>11</v>
      </c>
      <c r="HZ20" s="52">
        <f>IF(G20="","",IF(L20=1000,0,IF(L20=-1000,11,IF(L20&lt;0,11,IF(L20&gt;0,(L20),"0")))))</f>
        <v>3</v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>
        <f>IF(E20="","",EO20*1)</f>
        <v>11</v>
      </c>
      <c r="IJ20" s="56">
        <f>IF(F20="","",EY20*1)</f>
        <v>11</v>
      </c>
      <c r="IK20" s="56">
        <f>IF(G20="","",FI20*1)</f>
        <v>11</v>
      </c>
      <c r="IL20" s="56" t="str">
        <f>IF(H20="","",FS20*1)</f>
        <v/>
      </c>
      <c r="IM20" s="56" t="str">
        <f>IF(I20="","",GC20*1)</f>
        <v/>
      </c>
      <c r="IN20" s="57">
        <f>IF(E20="","",EU20*1)</f>
        <v>6</v>
      </c>
      <c r="IO20" s="57">
        <f>IF(F20="","",FE20*1)</f>
        <v>3</v>
      </c>
      <c r="IP20" s="57">
        <f>IF(G20="","",FO20*1)</f>
        <v>3</v>
      </c>
      <c r="IQ20" s="57" t="str">
        <f>IF(H20="","",FY20*1)</f>
        <v/>
      </c>
      <c r="IR20" s="57" t="str">
        <f>IF(I20="","",GI20*1)</f>
        <v/>
      </c>
      <c r="IS20" s="58">
        <f>IF(E20="","",SUM(II20:IM20))</f>
        <v>33</v>
      </c>
      <c r="IT20" s="58">
        <f>IF(E20="","",SUM(IN20:IR20))</f>
        <v>12</v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3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«Интер»  г.Евпатория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10</v>
      </c>
      <c r="GN21" s="222"/>
      <c r="GO21" s="222"/>
      <c r="GP21" s="222"/>
      <c r="GQ21" s="222"/>
      <c r="GR21" s="222"/>
      <c r="GS21" s="223"/>
      <c r="GT21" s="224">
        <f>IF(E16="","",SUM(GT16:GZ20))</f>
        <v>7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2</v>
      </c>
      <c r="HI21" s="228"/>
      <c r="HJ21" s="228"/>
      <c r="HK21" s="228"/>
      <c r="HL21" s="228"/>
      <c r="HM21" s="228"/>
      <c r="HN21" s="231"/>
      <c r="IS21" s="64">
        <f>IF(E16="","",SUM(IS16:IS20))</f>
        <v>154</v>
      </c>
      <c r="IT21" s="65">
        <f>IF(E16="","",SUM(IT16:IT20))</f>
        <v>142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42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«Интер»  г.Евпатория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«Дрим Тим»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32</v>
      </c>
      <c r="F57" s="481"/>
      <c r="G57" s="9"/>
      <c r="H57" s="480">
        <f>C2</f>
        <v>41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33</v>
      </c>
      <c r="F58" s="481"/>
      <c r="G58" s="9"/>
      <c r="H58" s="480">
        <f>C4</f>
        <v>43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36</v>
      </c>
      <c r="F59" s="481"/>
      <c r="G59" s="9"/>
      <c r="H59" s="480">
        <f>C7</f>
        <v>46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37</v>
      </c>
      <c r="F60" s="481"/>
      <c r="G60" s="9"/>
      <c r="H60" s="480">
        <f>C8</f>
        <v>47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38</v>
      </c>
      <c r="F61" s="481"/>
      <c r="G61" s="9"/>
      <c r="H61" s="480">
        <f>C9</f>
        <v>48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39</v>
      </c>
      <c r="F62" s="481"/>
      <c r="G62" s="9"/>
      <c r="H62" s="480">
        <f>1+H61</f>
        <v>49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40</v>
      </c>
      <c r="F63" s="481"/>
      <c r="G63" s="9"/>
      <c r="H63" s="480">
        <f>1+H62</f>
        <v>50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41</v>
      </c>
      <c r="F64" s="481"/>
      <c r="G64" s="9"/>
      <c r="H64" s="480">
        <f>1+H63</f>
        <v>51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42</v>
      </c>
      <c r="F65" s="481"/>
      <c r="G65" s="9"/>
      <c r="H65" s="480">
        <f>1+H64</f>
        <v>52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43</v>
      </c>
      <c r="F66" s="481"/>
      <c r="G66" s="9"/>
      <c r="H66" s="480">
        <f>1+H65</f>
        <v>53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  <pageSetUpPr fitToPage="1"/>
  </sheetPr>
  <dimension ref="A1:IU102"/>
  <sheetViews>
    <sheetView topLeftCell="D1" zoomScale="50" zoomScaleNormal="50" zoomScaleSheetLayoutView="40" workbookViewId="0">
      <selection activeCell="G19" sqref="G19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«АРСЕНАЛ-С» г.Севастополь</v>
      </c>
      <c r="B1" s="576"/>
      <c r="C1" s="577" t="str">
        <f>IF(D11="","",VLOOKUP(D11,Список!B:O,12,FALSE))</f>
        <v>«Рассвет» г.Симферополь</v>
      </c>
      <c r="D1" s="578"/>
      <c r="E1" s="579">
        <v>43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61</v>
      </c>
      <c r="B2" s="13" t="str">
        <f>IF(A2="","",VLOOKUP(A2,Список!E:O,2,FALSE))</f>
        <v xml:space="preserve"> Перфильев Алексей Алексеевич</v>
      </c>
      <c r="C2" s="14">
        <f>IF($B$11="","",$D$11*10+1)</f>
        <v>51</v>
      </c>
      <c r="D2" s="15" t="str">
        <f>IF(C2="","",VLOOKUP(C2,Список!E:O,2,FALSE))</f>
        <v xml:space="preserve"> Пикульский Никита Петрович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62</v>
      </c>
      <c r="B3" s="13" t="str">
        <f>IF(A3="","",VLOOKUP(A3,Список!E:O,2,FALSE))</f>
        <v xml:space="preserve"> Чернокнижников Александр Максимович</v>
      </c>
      <c r="C3" s="14">
        <f>IF($B$11="","",$D$11*10+2)</f>
        <v>52</v>
      </c>
      <c r="D3" s="15" t="str">
        <f>IF(C3="","",VLOOKUP(C3,Список!E:O,2,FALSE))</f>
        <v xml:space="preserve"> Третьяков Олег Маратович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63</v>
      </c>
      <c r="B4" s="13" t="str">
        <f>IF(A4="","",VLOOKUP(A4,Список!E:O,2,FALSE))</f>
        <v xml:space="preserve"> Шило Алексей Вячеславович</v>
      </c>
      <c r="C4" s="14">
        <f>IF($B$11="","",$D$11*10+3)</f>
        <v>53</v>
      </c>
      <c r="D4" s="15" t="str">
        <f>IF(C4="","",VLOOKUP(C4,Список!E:O,2,FALSE))</f>
        <v xml:space="preserve"> Рехтин Андрей Павлович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64</v>
      </c>
      <c r="B5" s="13" t="str">
        <f>IF(A5="","",VLOOKUP(A5,Список!E:O,2,FALSE))</f>
        <v xml:space="preserve"> Овчаренко Игорь Викторович</v>
      </c>
      <c r="C5" s="14">
        <f>IF($B$11="","",$D$11*10+4)</f>
        <v>54</v>
      </c>
      <c r="D5" s="15" t="str">
        <f>IF(C5="","",VLOOKUP(C5,Список!E:O,2,FALSE))</f>
        <v xml:space="preserve"> Алёшкин Дмитрий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65</v>
      </c>
      <c r="B6" s="13" t="str">
        <f>IF(A6="","",VLOOKUP(A6,Список!E:O,2,FALSE))</f>
        <v xml:space="preserve"> Королев Роман Сергеевич</v>
      </c>
      <c r="C6" s="14">
        <f>IF($B$11="","",$D$11*10+5)</f>
        <v>55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66</v>
      </c>
      <c r="B7" s="13" t="str">
        <f>IF(A7="","",VLOOKUP(A7,Список!E:O,2,FALSE))</f>
        <v xml:space="preserve"> Горелкин Анатолий Николаевич</v>
      </c>
      <c r="C7" s="14">
        <f>IF($B$11="","",$D$11*10+6)</f>
        <v>56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67</v>
      </c>
      <c r="B8" s="13" t="str">
        <f>IF(A8="","",VLOOKUP(A8,Список!E:O,2,FALSE))</f>
        <v xml:space="preserve"> Осипов Владимир Владимирович</v>
      </c>
      <c r="C8" s="14">
        <f>IF($B$11="","",$D$11*10+7)</f>
        <v>57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«Рассвет»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«АРСЕНАЛ-С» г.Севастополь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68</v>
      </c>
      <c r="B9" s="13" t="str">
        <f>IF(A9="","",VLOOKUP(A9,Список!E:O,2,FALSE))</f>
        <v xml:space="preserve"> Митин Павел Вадимович</v>
      </c>
      <c r="C9" s="14">
        <f>IF($B$11="","",$D$11*10+8)</f>
        <v>58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6</v>
      </c>
      <c r="C11" s="27" t="s">
        <v>18</v>
      </c>
      <c r="D11" s="29">
        <f>IF(B11="","",IF(B11=A13,C13,IF(B11=C13,A13,)))</f>
        <v>5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«АРСЕНАЛ-С» г.Севастополь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«Рассвет»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60</v>
      </c>
      <c r="D12" s="25">
        <f>IF(B11="","",D11*10)</f>
        <v>50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5</v>
      </c>
      <c r="B13" s="566"/>
      <c r="C13" s="565">
        <f>IF($E$1="","",VLOOKUP($E$1,'Общее расписание'!$B:$V,3,FALSE))</f>
        <v>6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Свистунов А.Н.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Пикульский Н., Третьяков О.М.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9, встреча 43, 5 - 6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43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65</v>
      </c>
      <c r="C16" s="41" t="s">
        <v>35</v>
      </c>
      <c r="D16" s="40">
        <v>52</v>
      </c>
      <c r="E16" s="42" t="s">
        <v>169</v>
      </c>
      <c r="F16" s="42" t="s">
        <v>157</v>
      </c>
      <c r="G16" s="42" t="s">
        <v>152</v>
      </c>
      <c r="H16" s="42" t="s">
        <v>171</v>
      </c>
      <c r="I16" s="42"/>
      <c r="J16" s="43">
        <f>IF(E16="","",IF(E16="0",1000,IF(E16="-0",-1000,E16*1)))</f>
        <v>-8</v>
      </c>
      <c r="K16" s="43">
        <f>IF(F16="","",IF(F16="0",1000,IF(F16="-0",-1000,F16*1)))</f>
        <v>9</v>
      </c>
      <c r="L16" s="43">
        <f>IF(G16="","",IF(G16="0",1000,IF(G16="-0",-1000,G16*1)))</f>
        <v>-7</v>
      </c>
      <c r="M16" s="43">
        <f>IF(H16="","",IF(H16="0",1000,IF(H16="-0",-1000,H16*1)))</f>
        <v>-6</v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0</v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1</v>
      </c>
      <c r="W16" s="45">
        <f t="shared" si="1"/>
        <v>1</v>
      </c>
      <c r="X16" s="45" t="str">
        <f t="shared" si="1"/>
        <v/>
      </c>
      <c r="Y16" s="46">
        <f>IF(E16="","",SUM(O16:S16))</f>
        <v>1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Королев Роман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Третьяков Олег Маратович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8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9</v>
      </c>
      <c r="FF16" s="320"/>
      <c r="FG16" s="320"/>
      <c r="FH16" s="321"/>
      <c r="FI16" s="322">
        <f>IF(G16="","",IF(L16&gt;9,HY16,HW16))</f>
        <v>7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6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1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8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 t="str">
        <f>IF(F16="","",IF(K16=1000,11,IF(K16=-1000,0,IF(K16&lt;9,11,IF(K16&gt;9,(K16+2),"0")))))</f>
        <v>0</v>
      </c>
      <c r="HV16" s="54">
        <f>IF(F16="","",IF(K16=1000,0,IF(K16=-1000,11,IF(K16&lt;0,11,IF(K16&gt;0,(K16),"0")))))</f>
        <v>9</v>
      </c>
      <c r="HW16" s="49">
        <f>IF(G16="","",IF(L16=1000,11,IF(L16=-1000,0,IF(L16&gt;0,11,IF(L16&lt;0,(-L16),"0")))))</f>
        <v>7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6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8</v>
      </c>
      <c r="IJ16" s="56">
        <f>IF(F16="","",EY16*1)</f>
        <v>11</v>
      </c>
      <c r="IK16" s="56">
        <f>IF(G16="","",FI16*1)</f>
        <v>7</v>
      </c>
      <c r="IL16" s="56">
        <f>IF(H16="","",FS16*1)</f>
        <v>6</v>
      </c>
      <c r="IM16" s="56" t="str">
        <f>IF(I16="","",GC16*1)</f>
        <v/>
      </c>
      <c r="IN16" s="57">
        <f>IF(E16="","",EU16*1)</f>
        <v>11</v>
      </c>
      <c r="IO16" s="57">
        <f>IF(F16="","",FE16*1)</f>
        <v>9</v>
      </c>
      <c r="IP16" s="57">
        <f>IF(G16="","",FO16*1)</f>
        <v>11</v>
      </c>
      <c r="IQ16" s="57">
        <f>IF(H16="","",FY16*1)</f>
        <v>11</v>
      </c>
      <c r="IR16" s="57" t="str">
        <f>IF(I16="","",GI16*1)</f>
        <v/>
      </c>
      <c r="IS16" s="58">
        <f>IF(E16="","",SUM(II16:IM16))</f>
        <v>32</v>
      </c>
      <c r="IT16" s="58">
        <f>IF(E16="","",SUM(IN16:IR16))</f>
        <v>42</v>
      </c>
    </row>
    <row r="17" spans="1:254" ht="30" customHeight="1" x14ac:dyDescent="0.35">
      <c r="A17" s="39" t="s">
        <v>18</v>
      </c>
      <c r="B17" s="40">
        <v>66</v>
      </c>
      <c r="C17" s="41" t="s">
        <v>34</v>
      </c>
      <c r="D17" s="40">
        <v>51</v>
      </c>
      <c r="E17" s="42" t="s">
        <v>173</v>
      </c>
      <c r="F17" s="42" t="s">
        <v>162</v>
      </c>
      <c r="G17" s="42" t="s">
        <v>171</v>
      </c>
      <c r="H17" s="42"/>
      <c r="I17" s="42"/>
      <c r="J17" s="43">
        <f t="shared" ref="J17:N20" si="2">IF(E17="","",IF(E17="0",1000,IF(E17="-0",-1000,E17*1)))</f>
        <v>-4</v>
      </c>
      <c r="K17" s="43">
        <f t="shared" si="2"/>
        <v>-1</v>
      </c>
      <c r="L17" s="43">
        <f t="shared" si="2"/>
        <v>-6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Горелкин Анатолий Николаевич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Пикульский Никита Петрович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4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6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4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6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4</v>
      </c>
      <c r="IJ17" s="56">
        <f>IF(F17="","",EY17*1)</f>
        <v>1</v>
      </c>
      <c r="IK17" s="56">
        <f>IF(G17="","",FI17*1)</f>
        <v>6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11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67</v>
      </c>
      <c r="C18" s="41" t="s">
        <v>37</v>
      </c>
      <c r="D18" s="40">
        <v>53</v>
      </c>
      <c r="E18" s="42" t="s">
        <v>152</v>
      </c>
      <c r="F18" s="42" t="s">
        <v>162</v>
      </c>
      <c r="G18" s="42" t="s">
        <v>169</v>
      </c>
      <c r="H18" s="42"/>
      <c r="I18" s="42"/>
      <c r="J18" s="43">
        <f t="shared" si="2"/>
        <v>-7</v>
      </c>
      <c r="K18" s="43">
        <f t="shared" si="2"/>
        <v>-1</v>
      </c>
      <c r="L18" s="43">
        <f t="shared" si="2"/>
        <v>-8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Осипов Владимир Владимирович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Рехтин Андрей Павлович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7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8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7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1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8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7</v>
      </c>
      <c r="IJ18" s="56">
        <f>IF(F18="","",EY18*1)</f>
        <v>1</v>
      </c>
      <c r="IK18" s="56">
        <f>IF(G18="","",FI18*1)</f>
        <v>8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16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65</v>
      </c>
      <c r="C19" s="41" t="s">
        <v>34</v>
      </c>
      <c r="D19" s="59">
        <f>IF(D17=0,"",D17)</f>
        <v>51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Королев Роман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Пикульский Никита Петрович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66</v>
      </c>
      <c r="C20" s="41" t="s">
        <v>35</v>
      </c>
      <c r="D20" s="59">
        <f>IF(D16=0,"",D16)</f>
        <v>52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Горелкин Анатолий Николаевич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Третьяков Олег Маратович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5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«Рассвет»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59</v>
      </c>
      <c r="IT21" s="65">
        <f>IF(E16="","",SUM(IT16:IT20))</f>
        <v>108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43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«АРСЕНАЛ-С» г.Севастополь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«Рассвет»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62</v>
      </c>
      <c r="F57" s="481"/>
      <c r="G57" s="9"/>
      <c r="H57" s="480">
        <f>C2</f>
        <v>51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63</v>
      </c>
      <c r="F58" s="481"/>
      <c r="G58" s="9"/>
      <c r="H58" s="480">
        <f>C4</f>
        <v>53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66</v>
      </c>
      <c r="F59" s="481"/>
      <c r="G59" s="9"/>
      <c r="H59" s="480">
        <f>C7</f>
        <v>56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67</v>
      </c>
      <c r="F60" s="481"/>
      <c r="G60" s="9"/>
      <c r="H60" s="480">
        <f>C8</f>
        <v>57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68</v>
      </c>
      <c r="F61" s="481"/>
      <c r="G61" s="9"/>
      <c r="H61" s="480">
        <f>C9</f>
        <v>58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69</v>
      </c>
      <c r="F62" s="481"/>
      <c r="G62" s="9"/>
      <c r="H62" s="480">
        <f>1+H61</f>
        <v>59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70</v>
      </c>
      <c r="F63" s="481"/>
      <c r="G63" s="9"/>
      <c r="H63" s="480">
        <f>1+H62</f>
        <v>60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71</v>
      </c>
      <c r="F64" s="481"/>
      <c r="G64" s="9"/>
      <c r="H64" s="480">
        <f>1+H63</f>
        <v>61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72</v>
      </c>
      <c r="F65" s="481"/>
      <c r="G65" s="9"/>
      <c r="H65" s="480">
        <f>1+H64</f>
        <v>62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73</v>
      </c>
      <c r="F66" s="481"/>
      <c r="G66" s="9"/>
      <c r="H66" s="480">
        <f>1+H65</f>
        <v>63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  <pageSetUpPr fitToPage="1"/>
  </sheetPr>
  <dimension ref="A1:IU102"/>
  <sheetViews>
    <sheetView tabSelected="1" zoomScale="50" zoomScaleNormal="50" zoomScaleSheetLayoutView="40" workbookViewId="0">
      <selection activeCell="H20" sqref="H20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«СШ №3(1)» г.Симферополь</v>
      </c>
      <c r="B1" s="576"/>
      <c r="C1" s="577" t="str">
        <f>IF(D11="","",VLOOKUP(D11,Список!B:O,12,FALSE))</f>
        <v>«Спортшкола» г. Ялта</v>
      </c>
      <c r="D1" s="578"/>
      <c r="E1" s="579">
        <v>44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81</v>
      </c>
      <c r="B2" s="13" t="str">
        <f>IF(A2="","",VLOOKUP(A2,Список!E:O,2,FALSE))</f>
        <v xml:space="preserve"> Пыльник Данил Александрович</v>
      </c>
      <c r="C2" s="14">
        <f>IF($B$11="","",$D$11*10+1)</f>
        <v>71</v>
      </c>
      <c r="D2" s="15" t="str">
        <f>IF(C2="","",VLOOKUP(C2,Список!E:O,2,FALSE))</f>
        <v xml:space="preserve"> Маслий Дмитрий Владимирович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82</v>
      </c>
      <c r="B3" s="13" t="str">
        <f>IF(A3="","",VLOOKUP(A3,Список!E:O,2,FALSE))</f>
        <v xml:space="preserve"> Орбакас Антон Эдуардесович</v>
      </c>
      <c r="C3" s="14">
        <f>IF($B$11="","",$D$11*10+2)</f>
        <v>72</v>
      </c>
      <c r="D3" s="15" t="str">
        <f>IF(C3="","",VLOOKUP(C3,Список!E:O,2,FALSE))</f>
        <v xml:space="preserve"> Худенко Александр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83</v>
      </c>
      <c r="B4" s="13" t="str">
        <f>IF(A4="","",VLOOKUP(A4,Список!E:O,2,FALSE))</f>
        <v xml:space="preserve"> Лойко Максим Александрович</v>
      </c>
      <c r="C4" s="14">
        <f>IF($B$11="","",$D$11*10+3)</f>
        <v>73</v>
      </c>
      <c r="D4" s="15" t="str">
        <f>IF(C4="","",VLOOKUP(C4,Список!E:O,2,FALSE))</f>
        <v xml:space="preserve"> Размысловский Павел Алексеевич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84</v>
      </c>
      <c r="B5" s="13" t="str">
        <f>IF(A5="","",VLOOKUP(A5,Список!E:O,2,FALSE))</f>
        <v>-</v>
      </c>
      <c r="C5" s="14">
        <f>IF($B$11="","",$D$11*10+4)</f>
        <v>74</v>
      </c>
      <c r="D5" s="15" t="str">
        <f>IF(C5="","",VLOOKUP(C5,Список!E:O,2,FALSE))</f>
        <v xml:space="preserve"> Иванов Константин Николаевич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85</v>
      </c>
      <c r="B6" s="13" t="str">
        <f>IF(A6="","",VLOOKUP(A6,Список!E:O,2,FALSE))</f>
        <v>-</v>
      </c>
      <c r="C6" s="14">
        <f>IF($B$11="","",$D$11*10+5)</f>
        <v>75</v>
      </c>
      <c r="D6" s="15" t="str">
        <f>IF(C6="","",VLOOKUP(C6,Список!E:O,2,FALSE))</f>
        <v xml:space="preserve"> Поляков Дмитрий Игоревич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86</v>
      </c>
      <c r="B7" s="13" t="str">
        <f>IF(A7="","",VLOOKUP(A7,Список!E:O,2,FALSE))</f>
        <v>-</v>
      </c>
      <c r="C7" s="14">
        <f>IF($B$11="","",$D$11*10+6)</f>
        <v>76</v>
      </c>
      <c r="D7" s="15" t="str">
        <f>IF(C7="","",VLOOKUP(C7,Список!E:O,2,FALSE))</f>
        <v xml:space="preserve"> Гузенко Глеб Русланович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87</v>
      </c>
      <c r="B8" s="13" t="str">
        <f>IF(A8="","",VLOOKUP(A8,Список!E:O,2,FALSE))</f>
        <v>-</v>
      </c>
      <c r="C8" s="14">
        <f>IF($B$11="","",$D$11*10+7)</f>
        <v>77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«Спортшкола» г. 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№3(1)»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88</v>
      </c>
      <c r="B9" s="13" t="str">
        <f>IF(A9="","",VLOOKUP(A9,Список!E:O,2,FALSE))</f>
        <v>-</v>
      </c>
      <c r="C9" s="14">
        <f>IF($B$11="","",$D$11*10+8)</f>
        <v>78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8</v>
      </c>
      <c r="C11" s="27" t="s">
        <v>18</v>
      </c>
      <c r="D11" s="29">
        <f>IF(B11="","",IF(B11=A13,C13,IF(B11=C13,A13,)))</f>
        <v>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«СШ №3(1)»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«Спортшкола» г. 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80</v>
      </c>
      <c r="D12" s="25">
        <f>IF(B11="","",D11*10)</f>
        <v>70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7</v>
      </c>
      <c r="B13" s="566"/>
      <c r="C13" s="565">
        <f>IF($E$1="","",VLOOKUP($E$1,'Общее расписание'!$B:$V,3,FALSE))</f>
        <v>8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Филатов Д.В.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9, встреча 44, 7 - 8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44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82</v>
      </c>
      <c r="C16" s="41" t="s">
        <v>35</v>
      </c>
      <c r="D16" s="40">
        <v>74</v>
      </c>
      <c r="E16" s="42" t="s">
        <v>152</v>
      </c>
      <c r="F16" s="42" t="s">
        <v>156</v>
      </c>
      <c r="G16" s="42" t="s">
        <v>157</v>
      </c>
      <c r="H16" s="42" t="s">
        <v>154</v>
      </c>
      <c r="I16" s="42" t="s">
        <v>152</v>
      </c>
      <c r="J16" s="43">
        <f>IF(E16="","",IF(E16="0",1000,IF(E16="-0",-1000,E16*1)))</f>
        <v>-7</v>
      </c>
      <c r="K16" s="43">
        <f>IF(F16="","",IF(F16="0",1000,IF(F16="-0",-1000,F16*1)))</f>
        <v>-9</v>
      </c>
      <c r="L16" s="43">
        <f>IF(G16="","",IF(G16="0",1000,IF(G16="-0",-1000,G16*1)))</f>
        <v>9</v>
      </c>
      <c r="M16" s="43">
        <f>IF(H16="","",IF(H16="0",1000,IF(H16="-0",-1000,H16*1)))</f>
        <v>6</v>
      </c>
      <c r="N16" s="43">
        <f>IF(I16="","",IF(I16="0",1000,IF(I16="-0",-1000,I16*1)))</f>
        <v>-7</v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1</v>
      </c>
      <c r="R16" s="44">
        <f t="shared" si="0"/>
        <v>1</v>
      </c>
      <c r="S16" s="44">
        <f t="shared" si="0"/>
        <v>0</v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0</v>
      </c>
      <c r="W16" s="45">
        <f t="shared" si="1"/>
        <v>0</v>
      </c>
      <c r="X16" s="45">
        <f t="shared" si="1"/>
        <v>1</v>
      </c>
      <c r="Y16" s="46">
        <f>IF(E16="","",SUM(O16:S16))</f>
        <v>2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Орбакас Антон Эдуардесович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Иванов Константин Николаевич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7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9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9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6</v>
      </c>
      <c r="FZ16" s="320"/>
      <c r="GA16" s="320"/>
      <c r="GB16" s="321"/>
      <c r="GC16" s="257">
        <f>IF(I16="","",IF(N16&gt;9,IG16,IE16))</f>
        <v>7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11</v>
      </c>
      <c r="GJ16" s="255"/>
      <c r="GK16" s="255"/>
      <c r="GL16" s="302"/>
      <c r="GM16" s="309">
        <f>Y16</f>
        <v>2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7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9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 t="str">
        <f>IF(G16="","",IF(L16=1000,11,IF(L16=-1000,0,IF(L16&lt;9,11,IF(L16&gt;9,(L16+2),"0")))))</f>
        <v>0</v>
      </c>
      <c r="HZ16" s="52">
        <f>IF(G16="","",IF(L16=1000,0,IF(L16=-1000,11,IF(L16&lt;0,11,IF(L16&gt;0,(L16),"0")))))</f>
        <v>9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6</v>
      </c>
      <c r="IE16" s="49">
        <f>IF(I16="","",IF(N16=1000,11,IF(N16=-1000,0,IF(N16&gt;0,11,IF(N16&lt;0,(-N16),"0")))))</f>
        <v>7</v>
      </c>
      <c r="IF16" s="50" t="str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11</v>
      </c>
      <c r="II16" s="56">
        <f>IF(E16="","",EO16*1)</f>
        <v>7</v>
      </c>
      <c r="IJ16" s="56">
        <f>IF(F16="","",EY16*1)</f>
        <v>9</v>
      </c>
      <c r="IK16" s="56">
        <f>IF(G16="","",FI16*1)</f>
        <v>11</v>
      </c>
      <c r="IL16" s="56">
        <f>IF(H16="","",FS16*1)</f>
        <v>11</v>
      </c>
      <c r="IM16" s="56">
        <f>IF(I16="","",GC16*1)</f>
        <v>7</v>
      </c>
      <c r="IN16" s="57">
        <f>IF(E16="","",EU16*1)</f>
        <v>11</v>
      </c>
      <c r="IO16" s="57">
        <f>IF(F16="","",FE16*1)</f>
        <v>11</v>
      </c>
      <c r="IP16" s="57">
        <f>IF(G16="","",FO16*1)</f>
        <v>9</v>
      </c>
      <c r="IQ16" s="57">
        <f>IF(H16="","",FY16*1)</f>
        <v>6</v>
      </c>
      <c r="IR16" s="57">
        <f>IF(I16="","",GI16*1)</f>
        <v>11</v>
      </c>
      <c r="IS16" s="58">
        <f>IF(E16="","",SUM(II16:IM16))</f>
        <v>45</v>
      </c>
      <c r="IT16" s="58">
        <f>IF(E16="","",SUM(IN16:IR16))</f>
        <v>48</v>
      </c>
    </row>
    <row r="17" spans="1:254" ht="30" customHeight="1" x14ac:dyDescent="0.35">
      <c r="A17" s="39" t="s">
        <v>18</v>
      </c>
      <c r="B17" s="40">
        <v>81</v>
      </c>
      <c r="C17" s="41" t="s">
        <v>34</v>
      </c>
      <c r="D17" s="40">
        <v>72</v>
      </c>
      <c r="E17" s="42" t="s">
        <v>153</v>
      </c>
      <c r="F17" s="42" t="s">
        <v>156</v>
      </c>
      <c r="G17" s="42" t="s">
        <v>171</v>
      </c>
      <c r="H17" s="42" t="s">
        <v>171</v>
      </c>
      <c r="I17" s="42"/>
      <c r="J17" s="43">
        <f t="shared" ref="J17:N20" si="2">IF(E17="","",IF(E17="0",1000,IF(E17="-0",-1000,E17*1)))</f>
        <v>7</v>
      </c>
      <c r="K17" s="43">
        <f t="shared" si="2"/>
        <v>-9</v>
      </c>
      <c r="L17" s="43">
        <f t="shared" si="2"/>
        <v>-6</v>
      </c>
      <c r="M17" s="43">
        <f t="shared" si="2"/>
        <v>-6</v>
      </c>
      <c r="N17" s="43" t="str">
        <f t="shared" si="2"/>
        <v/>
      </c>
      <c r="O17" s="44">
        <f>IF(J17="","",IF(J17&gt;0,1,0))</f>
        <v>1</v>
      </c>
      <c r="P17" s="44">
        <f t="shared" si="0"/>
        <v>0</v>
      </c>
      <c r="Q17" s="44">
        <f t="shared" si="0"/>
        <v>0</v>
      </c>
      <c r="R17" s="44">
        <f t="shared" si="0"/>
        <v>0</v>
      </c>
      <c r="S17" s="44" t="str">
        <f t="shared" si="0"/>
        <v/>
      </c>
      <c r="T17" s="45">
        <f t="shared" si="1"/>
        <v>0</v>
      </c>
      <c r="U17" s="45">
        <f t="shared" si="1"/>
        <v>1</v>
      </c>
      <c r="V17" s="45">
        <f t="shared" si="1"/>
        <v>1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Пыльник Данил Александрович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Худенко Александр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7</v>
      </c>
      <c r="EV17" s="255"/>
      <c r="EW17" s="255"/>
      <c r="EX17" s="256"/>
      <c r="EY17" s="257">
        <f>IF(F17="","",IF(K17&gt;9,HU17,HS17))</f>
        <v>9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6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>
        <f>IF(H17="","",IF(M17&gt;9,IC17,IA17))</f>
        <v>6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7</v>
      </c>
      <c r="HS17" s="53">
        <f>IF(F17="","",IF(K17=1000,11,IF(K17=-1000,0,IF(K17&gt;0,11,IF(K17&lt;0,(-K17),"0")))))</f>
        <v>9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6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6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9</v>
      </c>
      <c r="IK17" s="56">
        <f>IF(G17="","",FI17*1)</f>
        <v>6</v>
      </c>
      <c r="IL17" s="56">
        <f>IF(H17="","",FS17*1)</f>
        <v>6</v>
      </c>
      <c r="IM17" s="56" t="str">
        <f>IF(I17="","",GC17*1)</f>
        <v/>
      </c>
      <c r="IN17" s="57">
        <f>IF(E17="","",EU17*1)</f>
        <v>7</v>
      </c>
      <c r="IO17" s="57">
        <f>IF(F17="","",FE17*1)</f>
        <v>11</v>
      </c>
      <c r="IP17" s="57">
        <f>IF(G17="","",FO17*1)</f>
        <v>11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32</v>
      </c>
      <c r="IT17" s="58">
        <f>IF(E17="","",SUM(IN17:IR17))</f>
        <v>40</v>
      </c>
    </row>
    <row r="18" spans="1:254" ht="30" customHeight="1" x14ac:dyDescent="0.2">
      <c r="A18" s="39" t="s">
        <v>36</v>
      </c>
      <c r="B18" s="40">
        <v>83</v>
      </c>
      <c r="C18" s="41" t="s">
        <v>37</v>
      </c>
      <c r="D18" s="40"/>
      <c r="E18" s="42" t="s">
        <v>159</v>
      </c>
      <c r="F18" s="42" t="s">
        <v>159</v>
      </c>
      <c r="G18" s="42" t="s">
        <v>159</v>
      </c>
      <c r="H18" s="42"/>
      <c r="I18" s="42"/>
      <c r="J18" s="43">
        <f t="shared" si="2"/>
        <v>1000</v>
      </c>
      <c r="K18" s="43">
        <f t="shared" si="2"/>
        <v>1000</v>
      </c>
      <c r="L18" s="43">
        <f t="shared" si="2"/>
        <v>1000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Лойко Максим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0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0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0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0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0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0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0</v>
      </c>
      <c r="IO18" s="57">
        <f>IF(F18="","",FE18*1)</f>
        <v>0</v>
      </c>
      <c r="IP18" s="57">
        <f>IF(G18="","",FO18*1)</f>
        <v>0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0</v>
      </c>
    </row>
    <row r="19" spans="1:254" ht="30" customHeight="1" x14ac:dyDescent="0.2">
      <c r="A19" s="39" t="s">
        <v>17</v>
      </c>
      <c r="B19" s="59">
        <f>IF(B16=0,"",B16)</f>
        <v>82</v>
      </c>
      <c r="C19" s="41" t="s">
        <v>34</v>
      </c>
      <c r="D19" s="59">
        <f>IF(D17=0,"",D17)</f>
        <v>72</v>
      </c>
      <c r="E19" s="42" t="s">
        <v>152</v>
      </c>
      <c r="F19" s="42" t="s">
        <v>163</v>
      </c>
      <c r="G19" s="42" t="s">
        <v>176</v>
      </c>
      <c r="H19" s="42" t="s">
        <v>152</v>
      </c>
      <c r="I19" s="42"/>
      <c r="J19" s="43">
        <f t="shared" si="2"/>
        <v>-7</v>
      </c>
      <c r="K19" s="43">
        <f t="shared" si="2"/>
        <v>-2</v>
      </c>
      <c r="L19" s="43">
        <f t="shared" si="2"/>
        <v>10</v>
      </c>
      <c r="M19" s="43">
        <f t="shared" si="2"/>
        <v>-7</v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1</v>
      </c>
      <c r="R19" s="44">
        <f t="shared" si="0"/>
        <v>0</v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0</v>
      </c>
      <c r="W19" s="45">
        <f t="shared" si="1"/>
        <v>1</v>
      </c>
      <c r="X19" s="45" t="str">
        <f t="shared" si="1"/>
        <v/>
      </c>
      <c r="Y19" s="46">
        <f>IF(E19="","",SUM(O19:S19))</f>
        <v>1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Орбакас Антон Эдуардесович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Худенко Александр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7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2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12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10</v>
      </c>
      <c r="FP19" s="255"/>
      <c r="FQ19" s="255"/>
      <c r="FR19" s="256"/>
      <c r="FS19" s="257">
        <f>IF(H19="","",IF(M19&gt;9,IC19,IA19))</f>
        <v>7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11</v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1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7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2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12</v>
      </c>
      <c r="HZ19" s="52">
        <f>IF(G19="","",IF(L19=1000,0,IF(L19=-1000,11,IF(L19&lt;0,11,IF(L19&gt;0,(L19),"0")))))</f>
        <v>10</v>
      </c>
      <c r="IA19" s="53">
        <f>IF(H19="","",IF(M19=1000,11,IF(M19=-1000,0,IF(M19&gt;0,11,IF(M19&lt;0,(-M19),"0")))))</f>
        <v>7</v>
      </c>
      <c r="IB19" s="53" t="str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11</v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7</v>
      </c>
      <c r="IJ19" s="56">
        <f>IF(F19="","",EY19*1)</f>
        <v>2</v>
      </c>
      <c r="IK19" s="56">
        <f>IF(G19="","",FI19*1)</f>
        <v>12</v>
      </c>
      <c r="IL19" s="56">
        <f>IF(H19="","",FS19*1)</f>
        <v>7</v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10</v>
      </c>
      <c r="IQ19" s="57">
        <f>IF(H19="","",FY19*1)</f>
        <v>11</v>
      </c>
      <c r="IR19" s="57" t="str">
        <f>IF(I19="","",GI19*1)</f>
        <v/>
      </c>
      <c r="IS19" s="58">
        <f>IF(E19="","",SUM(II19:IM19))</f>
        <v>28</v>
      </c>
      <c r="IT19" s="58">
        <f>IF(E19="","",SUM(IN19:IR19))</f>
        <v>43</v>
      </c>
    </row>
    <row r="20" spans="1:254" ht="30" customHeight="1" thickBot="1" x14ac:dyDescent="0.4">
      <c r="A20" s="39" t="s">
        <v>18</v>
      </c>
      <c r="B20" s="59">
        <f>IF(B17=0,"",B17)</f>
        <v>81</v>
      </c>
      <c r="C20" s="41" t="s">
        <v>35</v>
      </c>
      <c r="D20" s="59">
        <f>IF(D16=0,"",D16)</f>
        <v>74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Пыльник Данил Александрович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Иванов Константин Николаевич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7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«Спортшкола» г. Ялта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7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138</v>
      </c>
      <c r="IT21" s="65">
        <f>IF(E16="","",SUM(IT16:IT20))</f>
        <v>131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44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«СШ №3(1)»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«Спортшкола» г. 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82</v>
      </c>
      <c r="F57" s="481"/>
      <c r="G57" s="9"/>
      <c r="H57" s="480">
        <f>C2</f>
        <v>71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83</v>
      </c>
      <c r="F58" s="481"/>
      <c r="G58" s="9"/>
      <c r="H58" s="480">
        <f>C4</f>
        <v>73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86</v>
      </c>
      <c r="F59" s="481"/>
      <c r="G59" s="9"/>
      <c r="H59" s="480">
        <f>C7</f>
        <v>76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87</v>
      </c>
      <c r="F60" s="481"/>
      <c r="G60" s="9"/>
      <c r="H60" s="480">
        <f>C8</f>
        <v>77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88</v>
      </c>
      <c r="F61" s="481"/>
      <c r="G61" s="9"/>
      <c r="H61" s="480">
        <f>C9</f>
        <v>78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89</v>
      </c>
      <c r="F62" s="481"/>
      <c r="G62" s="9"/>
      <c r="H62" s="480">
        <f>1+H61</f>
        <v>79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90</v>
      </c>
      <c r="F63" s="481"/>
      <c r="G63" s="9"/>
      <c r="H63" s="480">
        <f>1+H62</f>
        <v>80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91</v>
      </c>
      <c r="F64" s="481"/>
      <c r="G64" s="9"/>
      <c r="H64" s="480">
        <f>1+H63</f>
        <v>81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92</v>
      </c>
      <c r="F65" s="481"/>
      <c r="G65" s="9"/>
      <c r="H65" s="480">
        <f>1+H64</f>
        <v>82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93</v>
      </c>
      <c r="F66" s="481"/>
      <c r="G66" s="9"/>
      <c r="H66" s="480">
        <f>1+H65</f>
        <v>83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  <pageSetUpPr fitToPage="1"/>
  </sheetPr>
  <dimension ref="A1:IU102"/>
  <sheetViews>
    <sheetView zoomScale="50" zoomScaleNormal="50" zoomScaleSheetLayoutView="40" workbookViewId="0">
      <selection activeCell="CN20" sqref="CN20:DS20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«СШ №3(2)» г.Симферополь</v>
      </c>
      <c r="B1" s="576"/>
      <c r="C1" s="577" t="str">
        <f>IF(D11="","",VLOOKUP(D11,Список!B:O,12,FALSE))</f>
        <v>"Спортшкола - Юноши" г.Ялта</v>
      </c>
      <c r="D1" s="578"/>
      <c r="E1" s="579">
        <v>45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101</v>
      </c>
      <c r="B2" s="13" t="str">
        <f>IF(A2="","",VLOOKUP(A2,Список!E:O,2,FALSE))</f>
        <v xml:space="preserve"> Талалай Игорь Сергеевич</v>
      </c>
      <c r="C2" s="14">
        <f>IF($B$11="","",$D$11*10+1)</f>
        <v>91</v>
      </c>
      <c r="D2" s="15" t="str">
        <f>IF(C2="","",VLOOKUP(C2,Список!E:O,2,FALSE))</f>
        <v xml:space="preserve"> Бородин Илья Николаевич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102</v>
      </c>
      <c r="B3" s="13" t="str">
        <f>IF(A3="","",VLOOKUP(A3,Список!E:O,2,FALSE))</f>
        <v xml:space="preserve"> Назаренко Олег Михайлович</v>
      </c>
      <c r="C3" s="14">
        <f>IF($B$11="","",$D$11*10+2)</f>
        <v>92</v>
      </c>
      <c r="D3" s="15" t="str">
        <f>IF(C3="","",VLOOKUP(C3,Список!E:O,2,FALSE))</f>
        <v xml:space="preserve"> Чекалов Никита Геннадьевич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103</v>
      </c>
      <c r="B4" s="13" t="str">
        <f>IF(A4="","",VLOOKUP(A4,Список!E:O,2,FALSE))</f>
        <v xml:space="preserve"> Романовский Александр Витальевич</v>
      </c>
      <c r="C4" s="14">
        <f>IF($B$11="","",$D$11*10+3)</f>
        <v>93</v>
      </c>
      <c r="D4" s="15" t="str">
        <f>IF(C4="","",VLOOKUP(C4,Список!E:O,2,FALSE))</f>
        <v xml:space="preserve"> Груздов Дарион Сергеевич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104</v>
      </c>
      <c r="B5" s="13" t="str">
        <f>IF(A5="","",VLOOKUP(A5,Список!E:O,2,FALSE))</f>
        <v xml:space="preserve"> Алексеев Игорь Юрьевич</v>
      </c>
      <c r="C5" s="14">
        <f>IF($B$11="","",$D$11*10+4)</f>
        <v>94</v>
      </c>
      <c r="D5" s="15" t="str">
        <f>IF(C5="","",VLOOKUP(C5,Список!E:O,2,FALSE))</f>
        <v xml:space="preserve"> Чекалов Дмитрий Геннадьевич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105</v>
      </c>
      <c r="B6" s="13" t="str">
        <f>IF(A6="","",VLOOKUP(A6,Список!E:O,2,FALSE))</f>
        <v xml:space="preserve"> Тимофеев Александр Сергеевич</v>
      </c>
      <c r="C6" s="14">
        <f>IF($B$11="","",$D$11*10+5)</f>
        <v>95</v>
      </c>
      <c r="D6" s="15" t="str">
        <f>IF(C6="","",VLOOKUP(C6,Список!E:O,2,FALSE))</f>
        <v xml:space="preserve"> Михайленко Кирилл Вадимович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106</v>
      </c>
      <c r="B7" s="13" t="str">
        <f>IF(A7="","",VLOOKUP(A7,Список!E:O,2,FALSE))</f>
        <v xml:space="preserve"> Спорышев Александр Алексеевич</v>
      </c>
      <c r="C7" s="14">
        <f>IF($B$11="","",$D$11*10+6)</f>
        <v>96</v>
      </c>
      <c r="D7" s="15" t="str">
        <f>IF(C7="","",VLOOKUP(C7,Список!E:O,2,FALSE))</f>
        <v xml:space="preserve"> Груздов Даниэль Сергеевич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107</v>
      </c>
      <c r="B8" s="13" t="str">
        <f>IF(A8="","",VLOOKUP(A8,Список!E:O,2,FALSE))</f>
        <v>-</v>
      </c>
      <c r="C8" s="14">
        <f>IF($B$11="","",$D$11*10+7)</f>
        <v>97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"Спортшкола - Юноши" г.Ялта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№3(2)»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108</v>
      </c>
      <c r="B9" s="13" t="str">
        <f>IF(A9="","",VLOOKUP(A9,Список!E:O,2,FALSE))</f>
        <v>-</v>
      </c>
      <c r="C9" s="14">
        <f>IF($B$11="","",$D$11*10+8)</f>
        <v>98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10</v>
      </c>
      <c r="C11" s="27" t="s">
        <v>18</v>
      </c>
      <c r="D11" s="29">
        <f>IF(B11="","",IF(B11=A13,C13,IF(B11=C13,A13,)))</f>
        <v>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«СШ №3(2)»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"Спортшкола - Юноши" г.Ялта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100</v>
      </c>
      <c r="D12" s="25">
        <f>IF(B11="","",D11*10)</f>
        <v>90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9</v>
      </c>
      <c r="B13" s="566"/>
      <c r="C13" s="565">
        <f>IF($E$1="","",VLOOKUP($E$1,'Общее расписание'!$B:$V,3,FALSE))</f>
        <v>10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Филатов Д.В.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9, встреча 45, 9 - 10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45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103</v>
      </c>
      <c r="C16" s="41" t="s">
        <v>35</v>
      </c>
      <c r="D16" s="40">
        <v>92</v>
      </c>
      <c r="E16" s="42" t="s">
        <v>156</v>
      </c>
      <c r="F16" s="42" t="s">
        <v>160</v>
      </c>
      <c r="G16" s="42" t="s">
        <v>169</v>
      </c>
      <c r="H16" s="42" t="s">
        <v>154</v>
      </c>
      <c r="I16" s="42" t="s">
        <v>156</v>
      </c>
      <c r="J16" s="43">
        <f>IF(E16="","",IF(E16="0",1000,IF(E16="-0",-1000,E16*1)))</f>
        <v>-9</v>
      </c>
      <c r="K16" s="43">
        <f>IF(F16="","",IF(F16="0",1000,IF(F16="-0",-1000,F16*1)))</f>
        <v>3</v>
      </c>
      <c r="L16" s="43">
        <f>IF(G16="","",IF(G16="0",1000,IF(G16="-0",-1000,G16*1)))</f>
        <v>-8</v>
      </c>
      <c r="M16" s="43">
        <f>IF(H16="","",IF(H16="0",1000,IF(H16="-0",-1000,H16*1)))</f>
        <v>6</v>
      </c>
      <c r="N16" s="43">
        <f>IF(I16="","",IF(I16="0",1000,IF(I16="-0",-1000,I16*1)))</f>
        <v>-9</v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1</v>
      </c>
      <c r="S16" s="44">
        <f t="shared" si="0"/>
        <v>0</v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1</v>
      </c>
      <c r="W16" s="45">
        <f t="shared" si="1"/>
        <v>0</v>
      </c>
      <c r="X16" s="45">
        <f t="shared" si="1"/>
        <v>1</v>
      </c>
      <c r="Y16" s="46">
        <f>IF(E16="","",SUM(O16:S16))</f>
        <v>2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Романовский Александр Витальевич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601"/>
      <c r="BO16" s="602"/>
      <c r="BP16" s="602"/>
      <c r="BQ16" s="602"/>
      <c r="BR16" s="602"/>
      <c r="BS16" s="602"/>
      <c r="BT16" s="603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Чекалов Никита Геннадьевич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9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3</v>
      </c>
      <c r="FF16" s="320"/>
      <c r="FG16" s="320"/>
      <c r="FH16" s="321"/>
      <c r="FI16" s="322">
        <f>IF(G16="","",IF(L16&gt;9,HY16,HW16))</f>
        <v>8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6</v>
      </c>
      <c r="FZ16" s="320"/>
      <c r="GA16" s="320"/>
      <c r="GB16" s="321"/>
      <c r="GC16" s="257">
        <f>IF(I16="","",IF(N16&gt;9,IG16,IE16))</f>
        <v>9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11</v>
      </c>
      <c r="GJ16" s="255"/>
      <c r="GK16" s="255"/>
      <c r="GL16" s="302"/>
      <c r="GM16" s="309">
        <f>Y16</f>
        <v>2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9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3</v>
      </c>
      <c r="HW16" s="49">
        <f>IF(G16="","",IF(L16=1000,11,IF(L16=-1000,0,IF(L16&gt;0,11,IF(L16&lt;0,(-L16),"0")))))</f>
        <v>8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6</v>
      </c>
      <c r="IE16" s="49">
        <f>IF(I16="","",IF(N16=1000,11,IF(N16=-1000,0,IF(N16&gt;0,11,IF(N16&lt;0,(-N16),"0")))))</f>
        <v>9</v>
      </c>
      <c r="IF16" s="50" t="str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11</v>
      </c>
      <c r="II16" s="56">
        <f>IF(E16="","",EO16*1)</f>
        <v>9</v>
      </c>
      <c r="IJ16" s="56">
        <f>IF(F16="","",EY16*1)</f>
        <v>11</v>
      </c>
      <c r="IK16" s="56">
        <f>IF(G16="","",FI16*1)</f>
        <v>8</v>
      </c>
      <c r="IL16" s="56">
        <f>IF(H16="","",FS16*1)</f>
        <v>11</v>
      </c>
      <c r="IM16" s="56">
        <f>IF(I16="","",GC16*1)</f>
        <v>9</v>
      </c>
      <c r="IN16" s="57">
        <f>IF(E16="","",EU16*1)</f>
        <v>11</v>
      </c>
      <c r="IO16" s="57">
        <f>IF(F16="","",FE16*1)</f>
        <v>3</v>
      </c>
      <c r="IP16" s="57">
        <f>IF(G16="","",FO16*1)</f>
        <v>11</v>
      </c>
      <c r="IQ16" s="57">
        <f>IF(H16="","",FY16*1)</f>
        <v>6</v>
      </c>
      <c r="IR16" s="57">
        <f>IF(I16="","",GI16*1)</f>
        <v>11</v>
      </c>
      <c r="IS16" s="58">
        <f>IF(E16="","",SUM(II16:IM16))</f>
        <v>48</v>
      </c>
      <c r="IT16" s="58">
        <f>IF(E16="","",SUM(IN16:IR16))</f>
        <v>42</v>
      </c>
    </row>
    <row r="17" spans="1:254" ht="30" customHeight="1" x14ac:dyDescent="0.35">
      <c r="A17" s="39" t="s">
        <v>18</v>
      </c>
      <c r="B17" s="40">
        <v>105</v>
      </c>
      <c r="C17" s="41" t="s">
        <v>34</v>
      </c>
      <c r="D17" s="40">
        <v>94</v>
      </c>
      <c r="E17" s="42" t="s">
        <v>154</v>
      </c>
      <c r="F17" s="42" t="s">
        <v>169</v>
      </c>
      <c r="G17" s="42" t="s">
        <v>154</v>
      </c>
      <c r="H17" s="42" t="s">
        <v>155</v>
      </c>
      <c r="I17" s="42"/>
      <c r="J17" s="43">
        <f t="shared" ref="J17:N20" si="2">IF(E17="","",IF(E17="0",1000,IF(E17="-0",-1000,E17*1)))</f>
        <v>6</v>
      </c>
      <c r="K17" s="43">
        <f t="shared" si="2"/>
        <v>-8</v>
      </c>
      <c r="L17" s="43">
        <f t="shared" si="2"/>
        <v>6</v>
      </c>
      <c r="M17" s="43">
        <f t="shared" si="2"/>
        <v>5</v>
      </c>
      <c r="N17" s="43" t="str">
        <f t="shared" si="2"/>
        <v/>
      </c>
      <c r="O17" s="44">
        <f>IF(J17="","",IF(J17&gt;0,1,0))</f>
        <v>1</v>
      </c>
      <c r="P17" s="44">
        <f t="shared" si="0"/>
        <v>0</v>
      </c>
      <c r="Q17" s="44">
        <f t="shared" si="0"/>
        <v>1</v>
      </c>
      <c r="R17" s="44">
        <f t="shared" si="0"/>
        <v>1</v>
      </c>
      <c r="S17" s="44" t="str">
        <f t="shared" si="0"/>
        <v/>
      </c>
      <c r="T17" s="45">
        <f t="shared" si="1"/>
        <v>0</v>
      </c>
      <c r="U17" s="45">
        <f t="shared" si="1"/>
        <v>1</v>
      </c>
      <c r="V17" s="45">
        <f t="shared" si="1"/>
        <v>0</v>
      </c>
      <c r="W17" s="45">
        <f t="shared" si="1"/>
        <v>0</v>
      </c>
      <c r="X17" s="45" t="str">
        <f t="shared" si="1"/>
        <v/>
      </c>
      <c r="Y17" s="46">
        <f>IF(E17="","",SUM(O17:S17))</f>
        <v>3</v>
      </c>
      <c r="Z17" s="46">
        <f>IF(E17="","",SUM(T17:X17))</f>
        <v>1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Тимофеев Александр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9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Чекалов Дмитрий Геннадьевич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6</v>
      </c>
      <c r="EV17" s="255"/>
      <c r="EW17" s="255"/>
      <c r="EX17" s="256"/>
      <c r="EY17" s="257">
        <f>IF(F17="","",IF(K17&gt;9,HU17,HS17))</f>
        <v>8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6</v>
      </c>
      <c r="FP17" s="255"/>
      <c r="FQ17" s="255"/>
      <c r="FR17" s="256"/>
      <c r="FS17" s="257">
        <f>IF(H17="","",IF(M17&gt;9,IC17,IA17))</f>
        <v>11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5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1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6</v>
      </c>
      <c r="HS17" s="53">
        <f>IF(F17="","",IF(K17=1000,11,IF(K17=-1000,0,IF(K17&gt;0,11,IF(K17&lt;0,(-K17),"0")))))</f>
        <v>8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6</v>
      </c>
      <c r="IA17" s="53">
        <f>IF(H17="","",IF(M17=1000,11,IF(M17=-1000,0,IF(M17&gt;0,11,IF(M17&lt;0,(-M17),"0")))))</f>
        <v>11</v>
      </c>
      <c r="IB17" s="53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5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8</v>
      </c>
      <c r="IK17" s="56">
        <f>IF(G17="","",FI17*1)</f>
        <v>11</v>
      </c>
      <c r="IL17" s="56">
        <f>IF(H17="","",FS17*1)</f>
        <v>11</v>
      </c>
      <c r="IM17" s="56" t="str">
        <f>IF(I17="","",GC17*1)</f>
        <v/>
      </c>
      <c r="IN17" s="57">
        <f>IF(E17="","",EU17*1)</f>
        <v>6</v>
      </c>
      <c r="IO17" s="57">
        <f>IF(F17="","",FE17*1)</f>
        <v>11</v>
      </c>
      <c r="IP17" s="57">
        <f>IF(G17="","",FO17*1)</f>
        <v>6</v>
      </c>
      <c r="IQ17" s="57">
        <f>IF(H17="","",FY17*1)</f>
        <v>5</v>
      </c>
      <c r="IR17" s="57" t="str">
        <f>IF(I17="","",GI17*1)</f>
        <v/>
      </c>
      <c r="IS17" s="58">
        <f>IF(E17="","",SUM(II17:IM17))</f>
        <v>41</v>
      </c>
      <c r="IT17" s="58">
        <f>IF(E17="","",SUM(IN17:IR17))</f>
        <v>28</v>
      </c>
    </row>
    <row r="18" spans="1:254" ht="30" customHeight="1" x14ac:dyDescent="0.2">
      <c r="A18" s="39" t="s">
        <v>36</v>
      </c>
      <c r="B18" s="40">
        <v>102</v>
      </c>
      <c r="C18" s="41" t="s">
        <v>37</v>
      </c>
      <c r="D18" s="40"/>
      <c r="E18" s="42" t="s">
        <v>159</v>
      </c>
      <c r="F18" s="42" t="s">
        <v>159</v>
      </c>
      <c r="G18" s="42" t="s">
        <v>159</v>
      </c>
      <c r="H18" s="42"/>
      <c r="I18" s="42"/>
      <c r="J18" s="43">
        <f t="shared" si="2"/>
        <v>1000</v>
      </c>
      <c r="K18" s="43">
        <f t="shared" si="2"/>
        <v>1000</v>
      </c>
      <c r="L18" s="43">
        <f t="shared" si="2"/>
        <v>1000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Назаренко Олег Михайлович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0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0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0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0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0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0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0</v>
      </c>
      <c r="IO18" s="57">
        <f>IF(F18="","",FE18*1)</f>
        <v>0</v>
      </c>
      <c r="IP18" s="57">
        <f>IF(G18="","",FO18*1)</f>
        <v>0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0</v>
      </c>
    </row>
    <row r="19" spans="1:254" ht="30" customHeight="1" x14ac:dyDescent="0.2">
      <c r="A19" s="39" t="s">
        <v>17</v>
      </c>
      <c r="B19" s="59">
        <f>IF(B16=0,"",B16)</f>
        <v>103</v>
      </c>
      <c r="C19" s="41" t="s">
        <v>34</v>
      </c>
      <c r="D19" s="59">
        <f>IF(D17=0,"",D17)</f>
        <v>94</v>
      </c>
      <c r="E19" s="42" t="s">
        <v>159</v>
      </c>
      <c r="F19" s="42" t="s">
        <v>159</v>
      </c>
      <c r="G19" s="42" t="s">
        <v>159</v>
      </c>
      <c r="H19" s="42"/>
      <c r="I19" s="42"/>
      <c r="J19" s="43">
        <f t="shared" si="2"/>
        <v>1000</v>
      </c>
      <c r="K19" s="43">
        <f t="shared" si="2"/>
        <v>1000</v>
      </c>
      <c r="L19" s="43">
        <f t="shared" si="2"/>
        <v>1000</v>
      </c>
      <c r="M19" s="43" t="str">
        <f t="shared" si="2"/>
        <v/>
      </c>
      <c r="N19" s="43" t="str">
        <f t="shared" si="2"/>
        <v/>
      </c>
      <c r="O19" s="44">
        <f>IF(J19="","",IF(J19&gt;0,1,0))</f>
        <v>1</v>
      </c>
      <c r="P19" s="44">
        <f t="shared" si="0"/>
        <v>1</v>
      </c>
      <c r="Q19" s="44">
        <f t="shared" si="0"/>
        <v>1</v>
      </c>
      <c r="R19" s="44" t="str">
        <f t="shared" si="0"/>
        <v/>
      </c>
      <c r="S19" s="44" t="str">
        <f t="shared" si="0"/>
        <v/>
      </c>
      <c r="T19" s="45">
        <f t="shared" si="1"/>
        <v>0</v>
      </c>
      <c r="U19" s="45">
        <f t="shared" si="1"/>
        <v>0</v>
      </c>
      <c r="V19" s="45">
        <f t="shared" si="1"/>
        <v>0</v>
      </c>
      <c r="W19" s="45" t="str">
        <f t="shared" si="1"/>
        <v/>
      </c>
      <c r="X19" s="45" t="str">
        <f t="shared" si="1"/>
        <v/>
      </c>
      <c r="Y19" s="46">
        <f>IF(E19="","",SUM(O19:S19))</f>
        <v>3</v>
      </c>
      <c r="Z19" s="46">
        <f>IF(E19="","",SUM(T19:X19))</f>
        <v>0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Романовский Александр Витальевич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Чекалов Дмитрий Геннадьевич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11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0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0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0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0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0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0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0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11</v>
      </c>
      <c r="IJ19" s="56">
        <f>IF(F19="","",EY19*1)</f>
        <v>11</v>
      </c>
      <c r="IK19" s="56">
        <f>IF(G19="","",FI19*1)</f>
        <v>11</v>
      </c>
      <c r="IL19" s="56" t="str">
        <f>IF(H19="","",FS19*1)</f>
        <v/>
      </c>
      <c r="IM19" s="56" t="str">
        <f>IF(I19="","",GC19*1)</f>
        <v/>
      </c>
      <c r="IN19" s="57">
        <f>IF(E19="","",EU19*1)</f>
        <v>0</v>
      </c>
      <c r="IO19" s="57">
        <f>IF(F19="","",FE19*1)</f>
        <v>0</v>
      </c>
      <c r="IP19" s="57">
        <f>IF(G19="","",FO19*1)</f>
        <v>0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33</v>
      </c>
      <c r="IT19" s="58">
        <f>IF(E19="","",SUM(IN19:IR19))</f>
        <v>0</v>
      </c>
    </row>
    <row r="20" spans="1:254" ht="30" customHeight="1" thickBot="1" x14ac:dyDescent="0.4">
      <c r="A20" s="39" t="s">
        <v>18</v>
      </c>
      <c r="B20" s="59">
        <f>IF(B17=0,"",B17)</f>
        <v>105</v>
      </c>
      <c r="C20" s="41" t="s">
        <v>35</v>
      </c>
      <c r="D20" s="59">
        <f>IF(D16=0,"",D16)</f>
        <v>92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Тимофеев Александр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Чекалов Никита Геннадьевич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10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«СШ №3(2)»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11</v>
      </c>
      <c r="GN21" s="222"/>
      <c r="GO21" s="222"/>
      <c r="GP21" s="222"/>
      <c r="GQ21" s="222"/>
      <c r="GR21" s="222"/>
      <c r="GS21" s="223"/>
      <c r="GT21" s="224">
        <f>IF(E16="","",SUM(GT16:GZ20))</f>
        <v>4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1</v>
      </c>
      <c r="HI21" s="228"/>
      <c r="HJ21" s="228"/>
      <c r="HK21" s="228"/>
      <c r="HL21" s="228"/>
      <c r="HM21" s="228"/>
      <c r="HN21" s="231"/>
      <c r="IS21" s="64">
        <f>IF(E16="","",SUM(IS16:IS20))</f>
        <v>155</v>
      </c>
      <c r="IT21" s="65">
        <f>IF(E16="","",SUM(IT16:IT20))</f>
        <v>70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45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«СШ №3(2)»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"Спортшкола - Юноши" г.Ялта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102</v>
      </c>
      <c r="F57" s="481"/>
      <c r="G57" s="9"/>
      <c r="H57" s="480">
        <f>C2</f>
        <v>91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103</v>
      </c>
      <c r="F58" s="481"/>
      <c r="G58" s="9"/>
      <c r="H58" s="480">
        <f>C4</f>
        <v>93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106</v>
      </c>
      <c r="F59" s="481"/>
      <c r="G59" s="9"/>
      <c r="H59" s="480">
        <f>C7</f>
        <v>96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107</v>
      </c>
      <c r="F60" s="481"/>
      <c r="G60" s="9"/>
      <c r="H60" s="480">
        <f>C8</f>
        <v>97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108</v>
      </c>
      <c r="F61" s="481"/>
      <c r="G61" s="9"/>
      <c r="H61" s="480">
        <f>C9</f>
        <v>98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109</v>
      </c>
      <c r="F62" s="481"/>
      <c r="G62" s="9"/>
      <c r="H62" s="480">
        <f>1+H61</f>
        <v>99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110</v>
      </c>
      <c r="F63" s="481"/>
      <c r="G63" s="9"/>
      <c r="H63" s="480">
        <f>1+H62</f>
        <v>100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111</v>
      </c>
      <c r="F64" s="481"/>
      <c r="G64" s="9"/>
      <c r="H64" s="480">
        <f>1+H63</f>
        <v>101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112</v>
      </c>
      <c r="F65" s="481"/>
      <c r="G65" s="9"/>
      <c r="H65" s="480">
        <f>1+H64</f>
        <v>102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113</v>
      </c>
      <c r="F66" s="481"/>
      <c r="G66" s="9"/>
      <c r="H66" s="480">
        <f>1+H65</f>
        <v>103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92D050"/>
    <pageSetUpPr fitToPage="1"/>
  </sheetPr>
  <dimension ref="A1:IU102"/>
  <sheetViews>
    <sheetView topLeftCell="E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«Интер»  г.Евпатория</v>
      </c>
      <c r="B1" s="576"/>
      <c r="C1" s="577" t="str">
        <f>IF(D11="","",VLOOKUP(D11,Список!B:O,12,FALSE))</f>
        <v>«Спортшкола» г. Ялта</v>
      </c>
      <c r="D1" s="578"/>
      <c r="E1" s="579">
        <v>1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31</v>
      </c>
      <c r="B2" s="13" t="str">
        <f>IF(A2="","",VLOOKUP(A2,Список!E:O,2,FALSE))</f>
        <v xml:space="preserve"> Сорбало Владислав Федорович</v>
      </c>
      <c r="C2" s="14">
        <f>IF($B$11="","",$D$11*10+1)</f>
        <v>71</v>
      </c>
      <c r="D2" s="15" t="str">
        <f>IF(C2="","",VLOOKUP(C2,Список!E:O,2,FALSE))</f>
        <v xml:space="preserve"> Маслий Дмитрий Владимирович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32</v>
      </c>
      <c r="B3" s="13" t="str">
        <f>IF(A3="","",VLOOKUP(A3,Список!E:O,2,FALSE))</f>
        <v xml:space="preserve"> Каулик Алексей Сергеевич</v>
      </c>
      <c r="C3" s="14">
        <f>IF($B$11="","",$D$11*10+2)</f>
        <v>72</v>
      </c>
      <c r="D3" s="15" t="str">
        <f>IF(C3="","",VLOOKUP(C3,Список!E:O,2,FALSE))</f>
        <v xml:space="preserve"> Худенко Александр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33</v>
      </c>
      <c r="B4" s="13" t="str">
        <f>IF(A4="","",VLOOKUP(A4,Список!E:O,2,FALSE))</f>
        <v xml:space="preserve"> Скрипин Василий Иванович</v>
      </c>
      <c r="C4" s="14">
        <f>IF($B$11="","",$D$11*10+3)</f>
        <v>73</v>
      </c>
      <c r="D4" s="15" t="str">
        <f>IF(C4="","",VLOOKUP(C4,Список!E:O,2,FALSE))</f>
        <v xml:space="preserve"> Размысловский Павел Алексеевич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34</v>
      </c>
      <c r="B5" s="13" t="str">
        <f>IF(A5="","",VLOOKUP(A5,Список!E:O,2,FALSE))</f>
        <v xml:space="preserve"> Сыч Станислав Викторович</v>
      </c>
      <c r="C5" s="14">
        <f>IF($B$11="","",$D$11*10+4)</f>
        <v>74</v>
      </c>
      <c r="D5" s="15" t="str">
        <f>IF(C5="","",VLOOKUP(C5,Список!E:O,2,FALSE))</f>
        <v xml:space="preserve"> Иванов Константин Николаевич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35</v>
      </c>
      <c r="B6" s="13" t="str">
        <f>IF(A6="","",VLOOKUP(A6,Список!E:O,2,FALSE))</f>
        <v xml:space="preserve"> Марусич Дмитрий Олегович</v>
      </c>
      <c r="C6" s="14">
        <f>IF($B$11="","",$D$11*10+5)</f>
        <v>75</v>
      </c>
      <c r="D6" s="15" t="str">
        <f>IF(C6="","",VLOOKUP(C6,Список!E:O,2,FALSE))</f>
        <v xml:space="preserve"> Поляков Дмитрий Игоревич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36</v>
      </c>
      <c r="B7" s="13" t="str">
        <f>IF(A7="","",VLOOKUP(A7,Список!E:O,2,FALSE))</f>
        <v xml:space="preserve"> Кафиев Артур Рафаилович</v>
      </c>
      <c r="C7" s="14">
        <f>IF($B$11="","",$D$11*10+6)</f>
        <v>76</v>
      </c>
      <c r="D7" s="15" t="str">
        <f>IF(C7="","",VLOOKUP(C7,Список!E:O,2,FALSE))</f>
        <v xml:space="preserve"> Гузенко Глеб Русланович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37</v>
      </c>
      <c r="B8" s="13" t="str">
        <f>IF(A8="","",VLOOKUP(A8,Список!E:O,2,FALSE))</f>
        <v xml:space="preserve"> Калинин Илья Валерьевич</v>
      </c>
      <c r="C8" s="14">
        <f>IF($B$11="","",$D$11*10+7)</f>
        <v>77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«Интер»  г.Евпатория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«Спортшкола» г. 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38</v>
      </c>
      <c r="B9" s="13" t="str">
        <f>IF(A9="","",VLOOKUP(A9,Список!E:O,2,FALSE))</f>
        <v xml:space="preserve"> Скрипин Иван Васильевич</v>
      </c>
      <c r="C9" s="14">
        <f>IF($B$11="","",$D$11*10+8)</f>
        <v>78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3</v>
      </c>
      <c r="C11" s="27" t="s">
        <v>18</v>
      </c>
      <c r="D11" s="29">
        <f>IF(B11="","",IF(B11=A13,C13,IF(B11=C13,A13,)))</f>
        <v>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«Интер»  г.Евпатория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«Спортшкола» г. 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30</v>
      </c>
      <c r="D12" s="25">
        <f>IF(B11="","",D11*10)</f>
        <v>70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3</v>
      </c>
      <c r="B13" s="566"/>
      <c r="C13" s="565">
        <f>IF($E$1="","",VLOOKUP($E$1,'Общее расписание'!$B:$V,3,FALSE))</f>
        <v>7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Хилик К.А., Скрипин В.И.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1, встреча 1, 3 - 7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2"/>
      <c r="AD14" s="152"/>
      <c r="AE14" s="152"/>
      <c r="AF14" s="152"/>
      <c r="AG14" s="152"/>
      <c r="AH14" s="152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31</v>
      </c>
      <c r="C16" s="41" t="s">
        <v>35</v>
      </c>
      <c r="D16" s="40">
        <v>74</v>
      </c>
      <c r="E16" s="42" t="s">
        <v>153</v>
      </c>
      <c r="F16" s="42" t="s">
        <v>154</v>
      </c>
      <c r="G16" s="42" t="s">
        <v>155</v>
      </c>
      <c r="H16" s="42"/>
      <c r="I16" s="42"/>
      <c r="J16" s="43">
        <f>IF(E16="","",IF(E16="0",1000,IF(E16="-0",-1000,E16*1)))</f>
        <v>7</v>
      </c>
      <c r="K16" s="43">
        <f>IF(F16="","",IF(F16="0",1000,IF(F16="-0",-1000,F16*1)))</f>
        <v>6</v>
      </c>
      <c r="L16" s="43">
        <f>IF(G16="","",IF(G16="0",1000,IF(G16="-0",-1000,G16*1)))</f>
        <v>5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Сорбало Владислав Федорович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Иванов Константин Николаевич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7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6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5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7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6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5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7</v>
      </c>
      <c r="IO16" s="57">
        <f>IF(F16="","",FE16*1)</f>
        <v>6</v>
      </c>
      <c r="IP16" s="57">
        <f>IF(G16="","",FO16*1)</f>
        <v>5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18</v>
      </c>
    </row>
    <row r="17" spans="1:254" ht="30" customHeight="1" x14ac:dyDescent="0.35">
      <c r="A17" s="39" t="s">
        <v>18</v>
      </c>
      <c r="B17" s="40">
        <v>32</v>
      </c>
      <c r="C17" s="41" t="s">
        <v>34</v>
      </c>
      <c r="D17" s="40">
        <v>72</v>
      </c>
      <c r="E17" s="42" t="s">
        <v>152</v>
      </c>
      <c r="F17" s="42" t="s">
        <v>153</v>
      </c>
      <c r="G17" s="42" t="s">
        <v>156</v>
      </c>
      <c r="H17" s="42" t="s">
        <v>157</v>
      </c>
      <c r="I17" s="42" t="s">
        <v>158</v>
      </c>
      <c r="J17" s="43">
        <f t="shared" ref="J17:N20" si="2">IF(E17="","",IF(E17="0",1000,IF(E17="-0",-1000,E17*1)))</f>
        <v>-7</v>
      </c>
      <c r="K17" s="43">
        <f t="shared" si="2"/>
        <v>7</v>
      </c>
      <c r="L17" s="43">
        <f t="shared" si="2"/>
        <v>-9</v>
      </c>
      <c r="M17" s="43">
        <f t="shared" si="2"/>
        <v>9</v>
      </c>
      <c r="N17" s="43">
        <f t="shared" si="2"/>
        <v>1</v>
      </c>
      <c r="O17" s="44">
        <f>IF(J17="","",IF(J17&gt;0,1,0))</f>
        <v>0</v>
      </c>
      <c r="P17" s="44">
        <f t="shared" si="0"/>
        <v>1</v>
      </c>
      <c r="Q17" s="44">
        <f t="shared" si="0"/>
        <v>0</v>
      </c>
      <c r="R17" s="44">
        <f t="shared" si="0"/>
        <v>1</v>
      </c>
      <c r="S17" s="44">
        <f t="shared" si="0"/>
        <v>1</v>
      </c>
      <c r="T17" s="45">
        <f t="shared" si="1"/>
        <v>1</v>
      </c>
      <c r="U17" s="45">
        <f t="shared" si="1"/>
        <v>0</v>
      </c>
      <c r="V17" s="45">
        <f t="shared" si="1"/>
        <v>1</v>
      </c>
      <c r="W17" s="45">
        <f t="shared" si="1"/>
        <v>0</v>
      </c>
      <c r="X17" s="45">
        <f t="shared" si="1"/>
        <v>0</v>
      </c>
      <c r="Y17" s="46">
        <f>IF(E17="","",SUM(O17:S17))</f>
        <v>3</v>
      </c>
      <c r="Z17" s="46">
        <f>IF(E17="","",SUM(T17:X17))</f>
        <v>2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Каулик Алексей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Худенко Александр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7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7</v>
      </c>
      <c r="FF17" s="255"/>
      <c r="FG17" s="255"/>
      <c r="FH17" s="256"/>
      <c r="FI17" s="257">
        <f>IF(G17="","",IF(L17&gt;9,HY17,HW17))</f>
        <v>9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>
        <f>IF(H17="","",IF(M17&gt;9,IC17,IA17))</f>
        <v>11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9</v>
      </c>
      <c r="FZ17" s="255"/>
      <c r="GA17" s="255"/>
      <c r="GB17" s="256"/>
      <c r="GC17" s="257">
        <f>IF(I17="","",IF(N17&gt;9,IG17,IE17))</f>
        <v>11</v>
      </c>
      <c r="GD17" s="255"/>
      <c r="GE17" s="255"/>
      <c r="GF17" s="255"/>
      <c r="GG17" s="254" t="str">
        <f>IF(GC17="","","-")</f>
        <v>-</v>
      </c>
      <c r="GH17" s="254"/>
      <c r="GI17" s="255">
        <f>IF(I17="","",IF(N17&lt;-9,IF17,IH17))</f>
        <v>1</v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2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7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7</v>
      </c>
      <c r="HW17" s="49">
        <f>IF(G17="","",IF(L17=1000,11,IF(L17=-1000,0,IF(L17&gt;0,11,IF(L17&lt;0,(-L17),"0")))))</f>
        <v>9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11</v>
      </c>
      <c r="IB17" s="53">
        <f>IF(H17="","",IF(G17="","",IF(M17=1000,0,IF(M17=-1000,11,IF(M17&lt;-9,-(M17-2),IF(M17&gt;0,(GX17),"0"))))))</f>
        <v>0</v>
      </c>
      <c r="IC17" s="54" t="str">
        <f>IF(H17="","",IF(M17=1000,11,IF(M17=-1000,0,IF(M17&lt;9,11,IF(M17&gt;9,(M17+2),"0")))))</f>
        <v>0</v>
      </c>
      <c r="ID17" s="54">
        <f>IF(H17="","",IF(M17=1000,0,IF(M17=-1000,11,IF(M17&lt;0,11,IF(M17&gt;0,(M17),"0")))))</f>
        <v>9</v>
      </c>
      <c r="IE17" s="49">
        <f>IF(I17="","",IF(N17=1000,11,IF(N17=-1000,0,IF(N17&gt;0,11,IF(N17&lt;0,(-N17),"0")))))</f>
        <v>11</v>
      </c>
      <c r="IF17" s="50">
        <f>IF(I17="","",IF(N17=1000,0,IF(N17=-1000,11,IF(N17&lt;-9,-(N17-2),IF(N17&gt;0,(GY17),"0")))))</f>
        <v>0</v>
      </c>
      <c r="IG17" s="51">
        <f>IF(I17="","",IF(N17=1000,11,IF(N17=-1000,0,IF(N17&lt;9,11,IF(N17&gt;9,(N17+2),"0")))))</f>
        <v>11</v>
      </c>
      <c r="IH17" s="55">
        <f>IF(I17="","",IF(N17=1000,0,IF(N17=-1000,11,IF(N17&lt;0,11,IF(N17&gt;0,(N17),"0")))))</f>
        <v>1</v>
      </c>
      <c r="II17" s="56">
        <f>IF(E17="","",EO17*1)</f>
        <v>7</v>
      </c>
      <c r="IJ17" s="56">
        <f>IF(F17="","",EY17*1)</f>
        <v>11</v>
      </c>
      <c r="IK17" s="56">
        <f>IF(G17="","",FI17*1)</f>
        <v>9</v>
      </c>
      <c r="IL17" s="56">
        <f>IF(H17="","",FS17*1)</f>
        <v>11</v>
      </c>
      <c r="IM17" s="56">
        <f>IF(I17="","",GC17*1)</f>
        <v>11</v>
      </c>
      <c r="IN17" s="57">
        <f>IF(E17="","",EU17*1)</f>
        <v>11</v>
      </c>
      <c r="IO17" s="57">
        <f>IF(F17="","",FE17*1)</f>
        <v>7</v>
      </c>
      <c r="IP17" s="57">
        <f>IF(G17="","",FO17*1)</f>
        <v>11</v>
      </c>
      <c r="IQ17" s="57">
        <f>IF(H17="","",FY17*1)</f>
        <v>9</v>
      </c>
      <c r="IR17" s="57">
        <f>IF(I17="","",GI17*1)</f>
        <v>1</v>
      </c>
      <c r="IS17" s="58">
        <f>IF(E17="","",SUM(II17:IM17))</f>
        <v>49</v>
      </c>
      <c r="IT17" s="58">
        <f>IF(E17="","",SUM(IN17:IR17))</f>
        <v>39</v>
      </c>
    </row>
    <row r="18" spans="1:254" ht="30" customHeight="1" x14ac:dyDescent="0.2">
      <c r="A18" s="39" t="s">
        <v>36</v>
      </c>
      <c r="B18" s="40">
        <v>34</v>
      </c>
      <c r="C18" s="41" t="s">
        <v>37</v>
      </c>
      <c r="D18" s="40"/>
      <c r="E18" s="42" t="s">
        <v>159</v>
      </c>
      <c r="F18" s="42" t="s">
        <v>159</v>
      </c>
      <c r="G18" s="42" t="s">
        <v>159</v>
      </c>
      <c r="H18" s="42"/>
      <c r="I18" s="42"/>
      <c r="J18" s="43">
        <f t="shared" si="2"/>
        <v>1000</v>
      </c>
      <c r="K18" s="43">
        <f t="shared" si="2"/>
        <v>1000</v>
      </c>
      <c r="L18" s="43">
        <f t="shared" si="2"/>
        <v>1000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Сыч Станислав Викторович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0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0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0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0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0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0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0</v>
      </c>
      <c r="IO18" s="57">
        <f>IF(F18="","",FE18*1)</f>
        <v>0</v>
      </c>
      <c r="IP18" s="57">
        <f>IF(G18="","",FO18*1)</f>
        <v>0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0</v>
      </c>
    </row>
    <row r="19" spans="1:254" ht="30" customHeight="1" x14ac:dyDescent="0.2">
      <c r="A19" s="39" t="s">
        <v>17</v>
      </c>
      <c r="B19" s="59">
        <f>IF(B16=0,"",B16)</f>
        <v>31</v>
      </c>
      <c r="C19" s="41" t="s">
        <v>34</v>
      </c>
      <c r="D19" s="59">
        <f>IF(D17=0,"",D17)</f>
        <v>72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Сорбало Владислав Федорович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Худенко Александр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32</v>
      </c>
      <c r="C20" s="41" t="s">
        <v>35</v>
      </c>
      <c r="D20" s="59">
        <f>IF(D16=0,"",D16)</f>
        <v>74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Каулик Алексей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Иванов Константин Николаевич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3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«Интер»  г.Евпатория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2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115</v>
      </c>
      <c r="IT21" s="65">
        <f>IF(E16="","",SUM(IT16:IT20))</f>
        <v>57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«Интер»  г.Евпатория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«Спортшкола» г. 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32</v>
      </c>
      <c r="F57" s="481"/>
      <c r="G57" s="9"/>
      <c r="H57" s="480">
        <f>C2</f>
        <v>71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33</v>
      </c>
      <c r="F58" s="481"/>
      <c r="G58" s="9"/>
      <c r="H58" s="480">
        <f>C4</f>
        <v>73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36</v>
      </c>
      <c r="F59" s="481"/>
      <c r="G59" s="9"/>
      <c r="H59" s="480">
        <f>C7</f>
        <v>76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37</v>
      </c>
      <c r="F60" s="481"/>
      <c r="G60" s="9"/>
      <c r="H60" s="480">
        <f>C8</f>
        <v>77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38</v>
      </c>
      <c r="F61" s="481"/>
      <c r="G61" s="9"/>
      <c r="H61" s="480">
        <f>C9</f>
        <v>78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39</v>
      </c>
      <c r="F62" s="481"/>
      <c r="G62" s="9"/>
      <c r="H62" s="480">
        <f>1+H61</f>
        <v>79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40</v>
      </c>
      <c r="F63" s="481"/>
      <c r="G63" s="9"/>
      <c r="H63" s="480">
        <f>1+H62</f>
        <v>80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41</v>
      </c>
      <c r="F64" s="481"/>
      <c r="G64" s="9"/>
      <c r="H64" s="480">
        <f>1+H63</f>
        <v>81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42</v>
      </c>
      <c r="F65" s="481"/>
      <c r="G65" s="9"/>
      <c r="H65" s="480">
        <f>1+H64</f>
        <v>82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43</v>
      </c>
      <c r="F66" s="481"/>
      <c r="G66" s="9"/>
      <c r="H66" s="480">
        <f>1+H65</f>
        <v>83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DT8:DW8"/>
    <mergeCell ref="DX8:HD8"/>
    <mergeCell ref="AM9:DS9"/>
    <mergeCell ref="DX9:HD9"/>
    <mergeCell ref="CF4:FK4"/>
    <mergeCell ref="BR7:CS7"/>
    <mergeCell ref="CT7:DU7"/>
    <mergeCell ref="DV7:EW7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92D050"/>
    <pageSetUpPr fitToPage="1"/>
  </sheetPr>
  <dimension ref="A1:IU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«Аэропорт - СШ №3» г.Симферополь</v>
      </c>
      <c r="B1" s="576"/>
      <c r="C1" s="577" t="str">
        <f>IF(D11="","",VLOOKUP(D11,Список!B:O,12,FALSE))</f>
        <v>«СШ №3(1)» г.Симферополь</v>
      </c>
      <c r="D1" s="578"/>
      <c r="E1" s="579">
        <v>2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21</v>
      </c>
      <c r="B2" s="13" t="str">
        <f>IF(A2="","",VLOOKUP(A2,Список!E:O,2,FALSE))</f>
        <v xml:space="preserve"> Павлина Сергей Станиславович</v>
      </c>
      <c r="C2" s="14">
        <f>IF($B$11="","",$D$11*10+1)</f>
        <v>81</v>
      </c>
      <c r="D2" s="15" t="str">
        <f>IF(C2="","",VLOOKUP(C2,Список!E:O,2,FALSE))</f>
        <v xml:space="preserve"> Пыльник Данил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22</v>
      </c>
      <c r="B3" s="13" t="str">
        <f>IF(A3="","",VLOOKUP(A3,Список!E:O,2,FALSE))</f>
        <v xml:space="preserve"> Банников Юрий Владимирович</v>
      </c>
      <c r="C3" s="14">
        <f>IF($B$11="","",$D$11*10+2)</f>
        <v>82</v>
      </c>
      <c r="D3" s="15" t="str">
        <f>IF(C3="","",VLOOKUP(C3,Список!E:O,2,FALSE))</f>
        <v xml:space="preserve"> Орбакас Антон Эдуардесович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23</v>
      </c>
      <c r="B4" s="13" t="str">
        <f>IF(A4="","",VLOOKUP(A4,Список!E:O,2,FALSE))</f>
        <v xml:space="preserve"> Лодыгин Владимир Вадимович</v>
      </c>
      <c r="C4" s="14">
        <f>IF($B$11="","",$D$11*10+3)</f>
        <v>83</v>
      </c>
      <c r="D4" s="15" t="str">
        <f>IF(C4="","",VLOOKUP(C4,Список!E:O,2,FALSE))</f>
        <v xml:space="preserve"> Лойко Максим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24</v>
      </c>
      <c r="B5" s="13" t="str">
        <f>IF(A5="","",VLOOKUP(A5,Список!E:O,2,FALSE))</f>
        <v xml:space="preserve"> Соловей Юрий Анатольевич</v>
      </c>
      <c r="C5" s="14">
        <f>IF($B$11="","",$D$11*10+4)</f>
        <v>84</v>
      </c>
      <c r="D5" s="15" t="str">
        <f>IF(C5="","",VLOOKUP(C5,Список!E:O,2,FALSE))</f>
        <v>-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25</v>
      </c>
      <c r="B6" s="13" t="str">
        <f>IF(A6="","",VLOOKUP(A6,Список!E:O,2,FALSE))</f>
        <v>-</v>
      </c>
      <c r="C6" s="14">
        <f>IF($B$11="","",$D$11*10+5)</f>
        <v>85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26</v>
      </c>
      <c r="B7" s="13" t="str">
        <f>IF(A7="","",VLOOKUP(A7,Список!E:O,2,FALSE))</f>
        <v>-</v>
      </c>
      <c r="C7" s="14">
        <f>IF($B$11="","",$D$11*10+6)</f>
        <v>86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27</v>
      </c>
      <c r="B8" s="13" t="str">
        <f>IF(A8="","",VLOOKUP(A8,Список!E:O,2,FALSE))</f>
        <v>-</v>
      </c>
      <c r="C8" s="14">
        <f>IF($B$11="","",$D$11*10+7)</f>
        <v>87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«Аэропорт - СШ №3»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№3(1)»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28</v>
      </c>
      <c r="B9" s="13" t="str">
        <f>IF(A9="","",VLOOKUP(A9,Список!E:O,2,FALSE))</f>
        <v>-</v>
      </c>
      <c r="C9" s="14">
        <f>IF($B$11="","",$D$11*10+8)</f>
        <v>88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2</v>
      </c>
      <c r="C11" s="27" t="s">
        <v>18</v>
      </c>
      <c r="D11" s="29">
        <f>IF(B11="","",IF(B11=A13,C13,IF(B11=C13,A13,)))</f>
        <v>8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«Аэропорт - СШ №3»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№3(1)»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20</v>
      </c>
      <c r="D12" s="25">
        <f>IF(B11="","",D11*10)</f>
        <v>80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2</v>
      </c>
      <c r="B13" s="566"/>
      <c r="C13" s="565">
        <f>IF($E$1="","",VLOOKUP($E$1,'Общее расписание'!$B:$V,3,FALSE))</f>
        <v>8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Банников Ю.В.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1, встреча 2, 2 - 8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23</v>
      </c>
      <c r="C16" s="41" t="s">
        <v>35</v>
      </c>
      <c r="D16" s="40">
        <v>82</v>
      </c>
      <c r="E16" s="42" t="s">
        <v>173</v>
      </c>
      <c r="F16" s="42" t="s">
        <v>157</v>
      </c>
      <c r="G16" s="42" t="s">
        <v>171</v>
      </c>
      <c r="H16" s="42" t="s">
        <v>169</v>
      </c>
      <c r="I16" s="42"/>
      <c r="J16" s="43">
        <f>IF(E16="","",IF(E16="0",1000,IF(E16="-0",-1000,E16*1)))</f>
        <v>-4</v>
      </c>
      <c r="K16" s="43">
        <f>IF(F16="","",IF(F16="0",1000,IF(F16="-0",-1000,F16*1)))</f>
        <v>9</v>
      </c>
      <c r="L16" s="43">
        <f>IF(G16="","",IF(G16="0",1000,IF(G16="-0",-1000,G16*1)))</f>
        <v>-6</v>
      </c>
      <c r="M16" s="43">
        <f>IF(H16="","",IF(H16="0",1000,IF(H16="-0",-1000,H16*1)))</f>
        <v>-8</v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0</v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1</v>
      </c>
      <c r="W16" s="45">
        <f t="shared" si="1"/>
        <v>1</v>
      </c>
      <c r="X16" s="45" t="str">
        <f t="shared" si="1"/>
        <v/>
      </c>
      <c r="Y16" s="46">
        <f>IF(E16="","",SUM(O16:S16))</f>
        <v>1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Лодыгин Владимир Вадимович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Орбакас Антон Эдуардесович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4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9</v>
      </c>
      <c r="FF16" s="320"/>
      <c r="FG16" s="320"/>
      <c r="FH16" s="321"/>
      <c r="FI16" s="322">
        <f>IF(G16="","",IF(L16&gt;9,HY16,HW16))</f>
        <v>6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8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1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4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 t="str">
        <f>IF(F16="","",IF(K16=1000,11,IF(K16=-1000,0,IF(K16&lt;9,11,IF(K16&gt;9,(K16+2),"0")))))</f>
        <v>0</v>
      </c>
      <c r="HV16" s="54">
        <f>IF(F16="","",IF(K16=1000,0,IF(K16=-1000,11,IF(K16&lt;0,11,IF(K16&gt;0,(K16),"0")))))</f>
        <v>9</v>
      </c>
      <c r="HW16" s="49">
        <f>IF(G16="","",IF(L16=1000,11,IF(L16=-1000,0,IF(L16&gt;0,11,IF(L16&lt;0,(-L16),"0")))))</f>
        <v>6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8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4</v>
      </c>
      <c r="IJ16" s="56">
        <f>IF(F16="","",EY16*1)</f>
        <v>11</v>
      </c>
      <c r="IK16" s="56">
        <f>IF(G16="","",FI16*1)</f>
        <v>6</v>
      </c>
      <c r="IL16" s="56">
        <f>IF(H16="","",FS16*1)</f>
        <v>8</v>
      </c>
      <c r="IM16" s="56" t="str">
        <f>IF(I16="","",GC16*1)</f>
        <v/>
      </c>
      <c r="IN16" s="57">
        <f>IF(E16="","",EU16*1)</f>
        <v>11</v>
      </c>
      <c r="IO16" s="57">
        <f>IF(F16="","",FE16*1)</f>
        <v>9</v>
      </c>
      <c r="IP16" s="57">
        <f>IF(G16="","",FO16*1)</f>
        <v>11</v>
      </c>
      <c r="IQ16" s="57">
        <f>IF(H16="","",FY16*1)</f>
        <v>11</v>
      </c>
      <c r="IR16" s="57" t="str">
        <f>IF(I16="","",GI16*1)</f>
        <v/>
      </c>
      <c r="IS16" s="58">
        <f>IF(E16="","",SUM(II16:IM16))</f>
        <v>29</v>
      </c>
      <c r="IT16" s="58">
        <f>IF(E16="","",SUM(IN16:IR16))</f>
        <v>42</v>
      </c>
    </row>
    <row r="17" spans="1:254" ht="30" customHeight="1" x14ac:dyDescent="0.35">
      <c r="A17" s="39" t="s">
        <v>18</v>
      </c>
      <c r="B17" s="40">
        <v>21</v>
      </c>
      <c r="C17" s="41" t="s">
        <v>34</v>
      </c>
      <c r="D17" s="40">
        <v>81</v>
      </c>
      <c r="E17" s="42" t="s">
        <v>167</v>
      </c>
      <c r="F17" s="42" t="s">
        <v>156</v>
      </c>
      <c r="G17" s="42" t="s">
        <v>166</v>
      </c>
      <c r="H17" s="42" t="s">
        <v>161</v>
      </c>
      <c r="I17" s="42"/>
      <c r="J17" s="43">
        <f t="shared" ref="J17:N20" si="2">IF(E17="","",IF(E17="0",1000,IF(E17="-0",-1000,E17*1)))</f>
        <v>2</v>
      </c>
      <c r="K17" s="43">
        <f t="shared" si="2"/>
        <v>-9</v>
      </c>
      <c r="L17" s="43">
        <f t="shared" si="2"/>
        <v>8</v>
      </c>
      <c r="M17" s="43">
        <f t="shared" si="2"/>
        <v>4</v>
      </c>
      <c r="N17" s="43" t="str">
        <f t="shared" si="2"/>
        <v/>
      </c>
      <c r="O17" s="44">
        <f>IF(J17="","",IF(J17&gt;0,1,0))</f>
        <v>1</v>
      </c>
      <c r="P17" s="44">
        <f t="shared" si="0"/>
        <v>0</v>
      </c>
      <c r="Q17" s="44">
        <f t="shared" si="0"/>
        <v>1</v>
      </c>
      <c r="R17" s="44">
        <f t="shared" si="0"/>
        <v>1</v>
      </c>
      <c r="S17" s="44" t="str">
        <f t="shared" si="0"/>
        <v/>
      </c>
      <c r="T17" s="45">
        <f t="shared" si="1"/>
        <v>0</v>
      </c>
      <c r="U17" s="45">
        <f t="shared" si="1"/>
        <v>1</v>
      </c>
      <c r="V17" s="45">
        <f t="shared" si="1"/>
        <v>0</v>
      </c>
      <c r="W17" s="45">
        <f t="shared" si="1"/>
        <v>0</v>
      </c>
      <c r="X17" s="45" t="str">
        <f t="shared" si="1"/>
        <v/>
      </c>
      <c r="Y17" s="46">
        <f>IF(E17="","",SUM(O17:S17))</f>
        <v>3</v>
      </c>
      <c r="Z17" s="46">
        <f>IF(E17="","",SUM(T17:X17))</f>
        <v>1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Павлина Сергей Станиславович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Пыльник Данил Александрович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2</v>
      </c>
      <c r="EV17" s="255"/>
      <c r="EW17" s="255"/>
      <c r="EX17" s="256"/>
      <c r="EY17" s="257">
        <f>IF(F17="","",IF(K17&gt;9,HU17,HS17))</f>
        <v>9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8</v>
      </c>
      <c r="FP17" s="255"/>
      <c r="FQ17" s="255"/>
      <c r="FR17" s="256"/>
      <c r="FS17" s="257">
        <f>IF(H17="","",IF(M17&gt;9,IC17,IA17))</f>
        <v>11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4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1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2</v>
      </c>
      <c r="HS17" s="53">
        <f>IF(F17="","",IF(K17=1000,11,IF(K17=-1000,0,IF(K17&gt;0,11,IF(K17&lt;0,(-K17),"0")))))</f>
        <v>9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8</v>
      </c>
      <c r="IA17" s="53">
        <f>IF(H17="","",IF(M17=1000,11,IF(M17=-1000,0,IF(M17&gt;0,11,IF(M17&lt;0,(-M17),"0")))))</f>
        <v>11</v>
      </c>
      <c r="IB17" s="53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4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9</v>
      </c>
      <c r="IK17" s="56">
        <f>IF(G17="","",FI17*1)</f>
        <v>11</v>
      </c>
      <c r="IL17" s="56">
        <f>IF(H17="","",FS17*1)</f>
        <v>11</v>
      </c>
      <c r="IM17" s="56" t="str">
        <f>IF(I17="","",GC17*1)</f>
        <v/>
      </c>
      <c r="IN17" s="57">
        <f>IF(E17="","",EU17*1)</f>
        <v>2</v>
      </c>
      <c r="IO17" s="57">
        <f>IF(F17="","",FE17*1)</f>
        <v>11</v>
      </c>
      <c r="IP17" s="57">
        <f>IF(G17="","",FO17*1)</f>
        <v>8</v>
      </c>
      <c r="IQ17" s="57">
        <f>IF(H17="","",FY17*1)</f>
        <v>4</v>
      </c>
      <c r="IR17" s="57" t="str">
        <f>IF(I17="","",GI17*1)</f>
        <v/>
      </c>
      <c r="IS17" s="58">
        <f>IF(E17="","",SUM(II17:IM17))</f>
        <v>42</v>
      </c>
      <c r="IT17" s="58">
        <f>IF(E17="","",SUM(IN17:IR17))</f>
        <v>25</v>
      </c>
    </row>
    <row r="18" spans="1:254" ht="30" customHeight="1" x14ac:dyDescent="0.2">
      <c r="A18" s="39" t="s">
        <v>36</v>
      </c>
      <c r="B18" s="40">
        <v>22</v>
      </c>
      <c r="C18" s="41" t="s">
        <v>37</v>
      </c>
      <c r="D18" s="40">
        <v>83</v>
      </c>
      <c r="E18" s="42" t="s">
        <v>161</v>
      </c>
      <c r="F18" s="42" t="s">
        <v>155</v>
      </c>
      <c r="G18" s="42" t="s">
        <v>153</v>
      </c>
      <c r="H18" s="42"/>
      <c r="I18" s="42"/>
      <c r="J18" s="43">
        <f t="shared" si="2"/>
        <v>4</v>
      </c>
      <c r="K18" s="43">
        <f t="shared" si="2"/>
        <v>5</v>
      </c>
      <c r="L18" s="43">
        <f t="shared" si="2"/>
        <v>7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Банников Юрий Владимирович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Лойко Максим Александрович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4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5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7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4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5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7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4</v>
      </c>
      <c r="IO18" s="57">
        <f>IF(F18="","",FE18*1)</f>
        <v>5</v>
      </c>
      <c r="IP18" s="57">
        <f>IF(G18="","",FO18*1)</f>
        <v>7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16</v>
      </c>
    </row>
    <row r="19" spans="1:254" ht="30" customHeight="1" x14ac:dyDescent="0.2">
      <c r="A19" s="39" t="s">
        <v>17</v>
      </c>
      <c r="B19" s="59">
        <f>IF(B16=0,"",B16)</f>
        <v>23</v>
      </c>
      <c r="C19" s="41" t="s">
        <v>34</v>
      </c>
      <c r="D19" s="59">
        <f>IF(D17=0,"",D17)</f>
        <v>81</v>
      </c>
      <c r="E19" s="42" t="s">
        <v>166</v>
      </c>
      <c r="F19" s="42" t="s">
        <v>154</v>
      </c>
      <c r="G19" s="42" t="s">
        <v>154</v>
      </c>
      <c r="H19" s="42"/>
      <c r="I19" s="42"/>
      <c r="J19" s="43">
        <f t="shared" si="2"/>
        <v>8</v>
      </c>
      <c r="K19" s="43">
        <f t="shared" si="2"/>
        <v>6</v>
      </c>
      <c r="L19" s="43">
        <f t="shared" si="2"/>
        <v>6</v>
      </c>
      <c r="M19" s="43" t="str">
        <f t="shared" si="2"/>
        <v/>
      </c>
      <c r="N19" s="43" t="str">
        <f t="shared" si="2"/>
        <v/>
      </c>
      <c r="O19" s="44">
        <f>IF(J19="","",IF(J19&gt;0,1,0))</f>
        <v>1</v>
      </c>
      <c r="P19" s="44">
        <f t="shared" si="0"/>
        <v>1</v>
      </c>
      <c r="Q19" s="44">
        <f t="shared" si="0"/>
        <v>1</v>
      </c>
      <c r="R19" s="44" t="str">
        <f t="shared" si="0"/>
        <v/>
      </c>
      <c r="S19" s="44" t="str">
        <f t="shared" si="0"/>
        <v/>
      </c>
      <c r="T19" s="45">
        <f t="shared" si="1"/>
        <v>0</v>
      </c>
      <c r="U19" s="45">
        <f t="shared" si="1"/>
        <v>0</v>
      </c>
      <c r="V19" s="45">
        <f t="shared" si="1"/>
        <v>0</v>
      </c>
      <c r="W19" s="45" t="str">
        <f t="shared" si="1"/>
        <v/>
      </c>
      <c r="X19" s="45" t="str">
        <f t="shared" si="1"/>
        <v/>
      </c>
      <c r="Y19" s="46">
        <f>IF(E19="","",SUM(O19:S19))</f>
        <v>3</v>
      </c>
      <c r="Z19" s="46">
        <f>IF(E19="","",SUM(T19:X19))</f>
        <v>0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Лодыгин Владимир Вадимович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Пыльник Данил Александрович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11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8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6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6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0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8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6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6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11</v>
      </c>
      <c r="IJ19" s="56">
        <f>IF(F19="","",EY19*1)</f>
        <v>11</v>
      </c>
      <c r="IK19" s="56">
        <f>IF(G19="","",FI19*1)</f>
        <v>11</v>
      </c>
      <c r="IL19" s="56" t="str">
        <f>IF(H19="","",FS19*1)</f>
        <v/>
      </c>
      <c r="IM19" s="56" t="str">
        <f>IF(I19="","",GC19*1)</f>
        <v/>
      </c>
      <c r="IN19" s="57">
        <f>IF(E19="","",EU19*1)</f>
        <v>8</v>
      </c>
      <c r="IO19" s="57">
        <f>IF(F19="","",FE19*1)</f>
        <v>6</v>
      </c>
      <c r="IP19" s="57">
        <f>IF(G19="","",FO19*1)</f>
        <v>6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33</v>
      </c>
      <c r="IT19" s="58">
        <f>IF(E19="","",SUM(IN19:IR19))</f>
        <v>20</v>
      </c>
    </row>
    <row r="20" spans="1:254" ht="30" customHeight="1" thickBot="1" x14ac:dyDescent="0.4">
      <c r="A20" s="39" t="s">
        <v>18</v>
      </c>
      <c r="B20" s="59">
        <f>IF(B17=0,"",B17)</f>
        <v>21</v>
      </c>
      <c r="C20" s="41" t="s">
        <v>35</v>
      </c>
      <c r="D20" s="59">
        <f>IF(D16=0,"",D16)</f>
        <v>82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Павлина Сергей Станиславович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Орбакас Антон Эдуардесович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2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«Аэропорт - СШ №3»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10</v>
      </c>
      <c r="GN21" s="222"/>
      <c r="GO21" s="222"/>
      <c r="GP21" s="222"/>
      <c r="GQ21" s="222"/>
      <c r="GR21" s="222"/>
      <c r="GS21" s="223"/>
      <c r="GT21" s="224">
        <f>IF(E16="","",SUM(GT16:GZ20))</f>
        <v>4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1</v>
      </c>
      <c r="HI21" s="228"/>
      <c r="HJ21" s="228"/>
      <c r="HK21" s="228"/>
      <c r="HL21" s="228"/>
      <c r="HM21" s="228"/>
      <c r="HN21" s="231"/>
      <c r="IS21" s="64">
        <f>IF(E16="","",SUM(IS16:IS20))</f>
        <v>137</v>
      </c>
      <c r="IT21" s="65">
        <f>IF(E16="","",SUM(IT16:IT20))</f>
        <v>103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«Аэропорт - СШ №3»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№3(1)»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22</v>
      </c>
      <c r="F57" s="481"/>
      <c r="G57" s="9"/>
      <c r="H57" s="480">
        <f>C2</f>
        <v>81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23</v>
      </c>
      <c r="F58" s="481"/>
      <c r="G58" s="9"/>
      <c r="H58" s="480">
        <f>C4</f>
        <v>83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26</v>
      </c>
      <c r="F59" s="481"/>
      <c r="G59" s="9"/>
      <c r="H59" s="480">
        <f>C7</f>
        <v>86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27</v>
      </c>
      <c r="F60" s="481"/>
      <c r="G60" s="9"/>
      <c r="H60" s="480">
        <f>C8</f>
        <v>87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28</v>
      </c>
      <c r="F61" s="481"/>
      <c r="G61" s="9"/>
      <c r="H61" s="480">
        <f>C9</f>
        <v>88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29</v>
      </c>
      <c r="F62" s="481"/>
      <c r="G62" s="9"/>
      <c r="H62" s="480">
        <f>1+H61</f>
        <v>89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30</v>
      </c>
      <c r="F63" s="481"/>
      <c r="G63" s="9"/>
      <c r="H63" s="480">
        <f>1+H62</f>
        <v>90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31</v>
      </c>
      <c r="F64" s="481"/>
      <c r="G64" s="9"/>
      <c r="H64" s="480">
        <f>1+H63</f>
        <v>91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32</v>
      </c>
      <c r="F65" s="481"/>
      <c r="G65" s="9"/>
      <c r="H65" s="480">
        <f>1+H64</f>
        <v>92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33</v>
      </c>
      <c r="F66" s="481"/>
      <c r="G66" s="9"/>
      <c r="H66" s="480">
        <f>1+H65</f>
        <v>93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92D050"/>
    <pageSetUpPr fitToPage="1"/>
  </sheetPr>
  <dimension ref="A1:IU102"/>
  <sheetViews>
    <sheetView topLeftCell="E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«АРСЕНАЛ-С» г.Севастополь</v>
      </c>
      <c r="B1" s="576"/>
      <c r="C1" s="577" t="str">
        <f>IF(D11="","",VLOOKUP(D11,Список!B:O,12,FALSE))</f>
        <v>«Дрим Тим» г.Симферополь</v>
      </c>
      <c r="D1" s="578"/>
      <c r="E1" s="579">
        <v>3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61</v>
      </c>
      <c r="B2" s="13" t="str">
        <f>IF(A2="","",VLOOKUP(A2,Список!E:O,2,FALSE))</f>
        <v xml:space="preserve"> Перфильев Алексей Алексеевич</v>
      </c>
      <c r="C2" s="14">
        <f>IF($B$11="","",$D$11*10+1)</f>
        <v>41</v>
      </c>
      <c r="D2" s="15" t="str">
        <f>IF(C2="","",VLOOKUP(C2,Список!E:O,2,FALSE))</f>
        <v xml:space="preserve"> Гаврилов Денис Михайлович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62</v>
      </c>
      <c r="B3" s="13" t="str">
        <f>IF(A3="","",VLOOKUP(A3,Список!E:O,2,FALSE))</f>
        <v xml:space="preserve"> Чернокнижников Александр Максимович</v>
      </c>
      <c r="C3" s="14">
        <f>IF($B$11="","",$D$11*10+2)</f>
        <v>42</v>
      </c>
      <c r="D3" s="15" t="str">
        <f>IF(C3="","",VLOOKUP(C3,Список!E:O,2,FALSE))</f>
        <v xml:space="preserve"> Курило Игорь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63</v>
      </c>
      <c r="B4" s="13" t="str">
        <f>IF(A4="","",VLOOKUP(A4,Список!E:O,2,FALSE))</f>
        <v xml:space="preserve"> Шило Алексей Вячеславович</v>
      </c>
      <c r="C4" s="14">
        <f>IF($B$11="","",$D$11*10+3)</f>
        <v>43</v>
      </c>
      <c r="D4" s="15" t="str">
        <f>IF(C4="","",VLOOKUP(C4,Список!E:O,2,FALSE))</f>
        <v xml:space="preserve"> Длугоканский Андрей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64</v>
      </c>
      <c r="B5" s="13" t="str">
        <f>IF(A5="","",VLOOKUP(A5,Список!E:O,2,FALSE))</f>
        <v xml:space="preserve"> Овчаренко Игорь Викторович</v>
      </c>
      <c r="C5" s="14">
        <f>IF($B$11="","",$D$11*10+4)</f>
        <v>44</v>
      </c>
      <c r="D5" s="15" t="str">
        <f>IF(C5="","",VLOOKUP(C5,Список!E:O,2,FALSE))</f>
        <v xml:space="preserve"> Полтев Данил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65</v>
      </c>
      <c r="B6" s="13" t="str">
        <f>IF(A6="","",VLOOKUP(A6,Список!E:O,2,FALSE))</f>
        <v xml:space="preserve"> Королев Роман Сергеевич</v>
      </c>
      <c r="C6" s="14">
        <f>IF($B$11="","",$D$11*10+5)</f>
        <v>45</v>
      </c>
      <c r="D6" s="15" t="str">
        <f>IF(C6="","",VLOOKUP(C6,Список!E:O,2,FALSE))</f>
        <v xml:space="preserve"> Ткаченко Владимир Михайлович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66</v>
      </c>
      <c r="B7" s="13" t="str">
        <f>IF(A7="","",VLOOKUP(A7,Список!E:O,2,FALSE))</f>
        <v xml:space="preserve"> Горелкин Анатолий Николаевич</v>
      </c>
      <c r="C7" s="14">
        <f>IF($B$11="","",$D$11*10+6)</f>
        <v>46</v>
      </c>
      <c r="D7" s="15" t="str">
        <f>IF(C7="","",VLOOKUP(C7,Список!E:O,2,FALSE))</f>
        <v xml:space="preserve"> Животов Дмитрий Викторович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67</v>
      </c>
      <c r="B8" s="13" t="str">
        <f>IF(A8="","",VLOOKUP(A8,Список!E:O,2,FALSE))</f>
        <v xml:space="preserve"> Осипов Владимир Владимирович</v>
      </c>
      <c r="C8" s="14">
        <f>IF($B$11="","",$D$11*10+7)</f>
        <v>47</v>
      </c>
      <c r="D8" s="15" t="str">
        <f>IF(C8="","",VLOOKUP(C8,Список!E:O,2,FALSE))</f>
        <v xml:space="preserve"> Скоробогатов Евгений Петрович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«Дрим Тим»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89" t="str">
        <f>IF(C13="","",VLOOKUP(C13,Список!B:O,12,FALSE))</f>
        <v>«АРСЕНАЛ-С» г.Севастополь</v>
      </c>
      <c r="DY8" s="590"/>
      <c r="DZ8" s="590"/>
      <c r="EA8" s="590"/>
      <c r="EB8" s="590"/>
      <c r="EC8" s="590"/>
      <c r="ED8" s="590"/>
      <c r="EE8" s="590"/>
      <c r="EF8" s="590"/>
      <c r="EG8" s="590"/>
      <c r="EH8" s="590"/>
      <c r="EI8" s="590"/>
      <c r="EJ8" s="590"/>
      <c r="EK8" s="590"/>
      <c r="EL8" s="590"/>
      <c r="EM8" s="590"/>
      <c r="EN8" s="590"/>
      <c r="EO8" s="590"/>
      <c r="EP8" s="590"/>
      <c r="EQ8" s="590"/>
      <c r="ER8" s="590"/>
      <c r="ES8" s="590"/>
      <c r="ET8" s="590"/>
      <c r="EU8" s="590"/>
      <c r="EV8" s="590"/>
      <c r="EW8" s="590"/>
      <c r="EX8" s="590"/>
      <c r="EY8" s="590"/>
      <c r="EZ8" s="590"/>
      <c r="FA8" s="590"/>
      <c r="FB8" s="590"/>
      <c r="FC8" s="590"/>
      <c r="FD8" s="590"/>
      <c r="FE8" s="590"/>
      <c r="FF8" s="590"/>
      <c r="FG8" s="590"/>
      <c r="FH8" s="590"/>
      <c r="FI8" s="590"/>
      <c r="FJ8" s="590"/>
      <c r="FK8" s="590"/>
      <c r="FL8" s="590"/>
      <c r="FM8" s="590"/>
      <c r="FN8" s="590"/>
      <c r="FO8" s="590"/>
      <c r="FP8" s="590"/>
      <c r="FQ8" s="590"/>
      <c r="FR8" s="590"/>
      <c r="FS8" s="590"/>
      <c r="FT8" s="590"/>
      <c r="FU8" s="590"/>
      <c r="FV8" s="590"/>
      <c r="FW8" s="590"/>
      <c r="FX8" s="590"/>
      <c r="FY8" s="590"/>
      <c r="FZ8" s="590"/>
      <c r="GA8" s="590"/>
      <c r="GB8" s="590"/>
      <c r="GC8" s="590"/>
      <c r="GD8" s="590"/>
      <c r="GE8" s="590"/>
      <c r="GF8" s="590"/>
      <c r="GG8" s="590"/>
      <c r="GH8" s="590"/>
      <c r="GI8" s="590"/>
      <c r="GJ8" s="590"/>
      <c r="GK8" s="590"/>
      <c r="GL8" s="590"/>
      <c r="GM8" s="590"/>
      <c r="GN8" s="590"/>
      <c r="GO8" s="590"/>
      <c r="GP8" s="590"/>
      <c r="GQ8" s="590"/>
      <c r="GR8" s="590"/>
      <c r="GS8" s="590"/>
      <c r="GT8" s="590"/>
      <c r="GU8" s="590"/>
      <c r="GV8" s="590"/>
      <c r="GW8" s="590"/>
      <c r="GX8" s="590"/>
      <c r="GY8" s="590"/>
      <c r="GZ8" s="590"/>
      <c r="HA8" s="590"/>
      <c r="HB8" s="590"/>
      <c r="HC8" s="590"/>
      <c r="HD8" s="591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68</v>
      </c>
      <c r="B9" s="13" t="str">
        <f>IF(A9="","",VLOOKUP(A9,Список!E:O,2,FALSE))</f>
        <v xml:space="preserve"> Митин Павел Вадимович</v>
      </c>
      <c r="C9" s="14">
        <f>IF($B$11="","",$D$11*10+8)</f>
        <v>48</v>
      </c>
      <c r="D9" s="15" t="str">
        <f>IF(C9="","",VLOOKUP(C9,Список!E:O,2,FALSE))</f>
        <v xml:space="preserve"> Скоробогатов Александр Евгеньевич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6</v>
      </c>
      <c r="C11" s="27" t="s">
        <v>18</v>
      </c>
      <c r="D11" s="29">
        <f>IF(B11="","",IF(B11=A13,C13,IF(B11=C13,A13,)))</f>
        <v>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482" t="str">
        <f>IF(B11="","",VLOOKUP(B11,Список!B:O,12,FALSE))</f>
        <v>«АРСЕНАЛ-С» г.Севастополь</v>
      </c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4"/>
      <c r="CI11" s="482" t="str">
        <f>IF(D11="","",VLOOKUP(D11,Список!B:O,12,FALSE))</f>
        <v>«Дрим Тим» г.Симферополь</v>
      </c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  <c r="EJ11" s="483"/>
      <c r="EK11" s="483"/>
      <c r="EL11" s="483"/>
      <c r="EM11" s="483"/>
      <c r="EN11" s="484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60</v>
      </c>
      <c r="D12" s="25">
        <f>IF(B11="","",D11*10)</f>
        <v>40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4</v>
      </c>
      <c r="B13" s="566"/>
      <c r="C13" s="565">
        <f>IF($E$1="","",VLOOKUP($E$1,'Общее расписание'!$B:$V,3,FALSE))</f>
        <v>6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Свистунов А.Н.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Скоробогатов Е.П.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1, встреча 3, 4 - 6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3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67</v>
      </c>
      <c r="C16" s="41" t="s">
        <v>35</v>
      </c>
      <c r="D16" s="40">
        <v>43</v>
      </c>
      <c r="E16" s="42" t="s">
        <v>174</v>
      </c>
      <c r="F16" s="42" t="s">
        <v>163</v>
      </c>
      <c r="G16" s="42" t="s">
        <v>165</v>
      </c>
      <c r="H16" s="42"/>
      <c r="I16" s="42"/>
      <c r="J16" s="43">
        <f>IF(E16="","",IF(E16="0",1000,IF(E16="-0",-1000,E16*1)))</f>
        <v>-3</v>
      </c>
      <c r="K16" s="43">
        <f>IF(F16="","",IF(F16="0",1000,IF(F16="-0",-1000,F16*1)))</f>
        <v>-2</v>
      </c>
      <c r="L16" s="43">
        <f>IF(G16="","",IF(G16="0",1000,IF(G16="-0",-1000,G16*1)))</f>
        <v>-11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Осипов Владимир Владимирович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Длугоканский Андрей Александрович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3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2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13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3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2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13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3</v>
      </c>
      <c r="IJ16" s="56">
        <f>IF(F16="","",EY16*1)</f>
        <v>2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13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16</v>
      </c>
      <c r="IT16" s="58">
        <f>IF(E16="","",SUM(IN16:IR16))</f>
        <v>35</v>
      </c>
    </row>
    <row r="17" spans="1:254" ht="30" customHeight="1" x14ac:dyDescent="0.35">
      <c r="A17" s="39" t="s">
        <v>18</v>
      </c>
      <c r="B17" s="40">
        <v>66</v>
      </c>
      <c r="C17" s="41" t="s">
        <v>34</v>
      </c>
      <c r="D17" s="40">
        <v>44</v>
      </c>
      <c r="E17" s="42" t="s">
        <v>166</v>
      </c>
      <c r="F17" s="42" t="s">
        <v>168</v>
      </c>
      <c r="G17" s="42" t="s">
        <v>169</v>
      </c>
      <c r="H17" s="42" t="s">
        <v>152</v>
      </c>
      <c r="I17" s="42" t="s">
        <v>163</v>
      </c>
      <c r="J17" s="43">
        <f t="shared" ref="J17:N20" si="2">IF(E17="","",IF(E17="0",1000,IF(E17="-0",-1000,E17*1)))</f>
        <v>8</v>
      </c>
      <c r="K17" s="43">
        <f t="shared" si="2"/>
        <v>16</v>
      </c>
      <c r="L17" s="43">
        <f t="shared" si="2"/>
        <v>-8</v>
      </c>
      <c r="M17" s="43">
        <f t="shared" si="2"/>
        <v>-7</v>
      </c>
      <c r="N17" s="43">
        <f t="shared" si="2"/>
        <v>-2</v>
      </c>
      <c r="O17" s="44">
        <f>IF(J17="","",IF(J17&gt;0,1,0))</f>
        <v>1</v>
      </c>
      <c r="P17" s="44">
        <f t="shared" si="0"/>
        <v>1</v>
      </c>
      <c r="Q17" s="44">
        <f t="shared" si="0"/>
        <v>0</v>
      </c>
      <c r="R17" s="44">
        <f t="shared" si="0"/>
        <v>0</v>
      </c>
      <c r="S17" s="44">
        <f t="shared" si="0"/>
        <v>0</v>
      </c>
      <c r="T17" s="45">
        <f t="shared" si="1"/>
        <v>0</v>
      </c>
      <c r="U17" s="45">
        <f t="shared" si="1"/>
        <v>0</v>
      </c>
      <c r="V17" s="45">
        <f t="shared" si="1"/>
        <v>1</v>
      </c>
      <c r="W17" s="45">
        <f t="shared" si="1"/>
        <v>1</v>
      </c>
      <c r="X17" s="45">
        <f t="shared" si="1"/>
        <v>1</v>
      </c>
      <c r="Y17" s="46">
        <f>IF(E17="","",SUM(O17:S17))</f>
        <v>2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Горелкин Анатолий Николаевич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Полтев Данил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8</v>
      </c>
      <c r="EV17" s="255"/>
      <c r="EW17" s="255"/>
      <c r="EX17" s="256"/>
      <c r="EY17" s="257">
        <f>IF(F17="","",IF(K17&gt;9,HU17,HS17))</f>
        <v>18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16</v>
      </c>
      <c r="FF17" s="255"/>
      <c r="FG17" s="255"/>
      <c r="FH17" s="256"/>
      <c r="FI17" s="257">
        <f>IF(G17="","",IF(L17&gt;9,HY17,HW17))</f>
        <v>8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>
        <f>IF(H17="","",IF(M17&gt;9,IC17,IA17))</f>
        <v>7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>
        <f>IF(I17="","",IF(N17&gt;9,IG17,IE17))</f>
        <v>2</v>
      </c>
      <c r="GD17" s="255"/>
      <c r="GE17" s="255"/>
      <c r="GF17" s="255"/>
      <c r="GG17" s="254" t="str">
        <f>IF(GC17="","","-")</f>
        <v>-</v>
      </c>
      <c r="GH17" s="254"/>
      <c r="GI17" s="255">
        <f>IF(I17="","",IF(N17&lt;-9,IF17,IH17))</f>
        <v>11</v>
      </c>
      <c r="GJ17" s="255"/>
      <c r="GK17" s="255"/>
      <c r="GL17" s="302"/>
      <c r="GM17" s="303">
        <f>Y17</f>
        <v>2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8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18</v>
      </c>
      <c r="HV17" s="54">
        <f>IF(F17="","",IF(K17=1000,0,IF(K17=-1000,11,IF(K17&lt;0,11,IF(K17&gt;0,(K17),"0")))))</f>
        <v>16</v>
      </c>
      <c r="HW17" s="49">
        <f>IF(G17="","",IF(L17=1000,11,IF(L17=-1000,0,IF(L17&gt;0,11,IF(L17&lt;0,(-L17),"0")))))</f>
        <v>8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7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>
        <f>IF(I17="","",IF(N17=1000,11,IF(N17=-1000,0,IF(N17&gt;0,11,IF(N17&lt;0,(-N17),"0")))))</f>
        <v>2</v>
      </c>
      <c r="IF17" s="50" t="str">
        <f>IF(I17="","",IF(N17=1000,0,IF(N17=-1000,11,IF(N17&lt;-9,-(N17-2),IF(N17&gt;0,(GY17),"0")))))</f>
        <v>0</v>
      </c>
      <c r="IG17" s="51">
        <f>IF(I17="","",IF(N17=1000,11,IF(N17=-1000,0,IF(N17&lt;9,11,IF(N17&gt;9,(N17+2),"0")))))</f>
        <v>11</v>
      </c>
      <c r="IH17" s="55">
        <f>IF(I17="","",IF(N17=1000,0,IF(N17=-1000,11,IF(N17&lt;0,11,IF(N17&gt;0,(N17),"0")))))</f>
        <v>11</v>
      </c>
      <c r="II17" s="56">
        <f>IF(E17="","",EO17*1)</f>
        <v>11</v>
      </c>
      <c r="IJ17" s="56">
        <f>IF(F17="","",EY17*1)</f>
        <v>18</v>
      </c>
      <c r="IK17" s="56">
        <f>IF(G17="","",FI17*1)</f>
        <v>8</v>
      </c>
      <c r="IL17" s="56">
        <f>IF(H17="","",FS17*1)</f>
        <v>7</v>
      </c>
      <c r="IM17" s="56">
        <f>IF(I17="","",GC17*1)</f>
        <v>2</v>
      </c>
      <c r="IN17" s="57">
        <f>IF(E17="","",EU17*1)</f>
        <v>8</v>
      </c>
      <c r="IO17" s="57">
        <f>IF(F17="","",FE17*1)</f>
        <v>16</v>
      </c>
      <c r="IP17" s="57">
        <f>IF(G17="","",FO17*1)</f>
        <v>11</v>
      </c>
      <c r="IQ17" s="57">
        <f>IF(H17="","",FY17*1)</f>
        <v>11</v>
      </c>
      <c r="IR17" s="57">
        <f>IF(I17="","",GI17*1)</f>
        <v>11</v>
      </c>
      <c r="IS17" s="58">
        <f>IF(E17="","",SUM(II17:IM17))</f>
        <v>46</v>
      </c>
      <c r="IT17" s="58">
        <f>IF(E17="","",SUM(IN17:IR17))</f>
        <v>57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45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Ткаченко Владимир Михайлович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67</v>
      </c>
      <c r="C19" s="41" t="s">
        <v>34</v>
      </c>
      <c r="D19" s="59">
        <f>IF(D17=0,"",D17)</f>
        <v>44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Осипов Владимир Владимирович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Полтев Данил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66</v>
      </c>
      <c r="C20" s="41" t="s">
        <v>35</v>
      </c>
      <c r="D20" s="59">
        <f>IF(D16=0,"",D16)</f>
        <v>43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Горелкин Анатолий Николаевич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Длугоканский Андрей Александрович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4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«Дрим Тим»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2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62</v>
      </c>
      <c r="IT21" s="65">
        <f>IF(E16="","",SUM(IT16:IT20))</f>
        <v>125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3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«АРСЕНАЛ-С» г.Севастополь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«Дрим Тим»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62</v>
      </c>
      <c r="F57" s="481"/>
      <c r="G57" s="9"/>
      <c r="H57" s="480">
        <f>C2</f>
        <v>41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104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63</v>
      </c>
      <c r="F58" s="481"/>
      <c r="G58" s="9"/>
      <c r="H58" s="480">
        <f>C4</f>
        <v>43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105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66</v>
      </c>
      <c r="F59" s="481"/>
      <c r="G59" s="9"/>
      <c r="H59" s="480">
        <f>C7</f>
        <v>46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67</v>
      </c>
      <c r="F60" s="481"/>
      <c r="G60" s="9"/>
      <c r="H60" s="480">
        <f>C8</f>
        <v>47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68</v>
      </c>
      <c r="F61" s="481"/>
      <c r="G61" s="9"/>
      <c r="H61" s="480">
        <f>C9</f>
        <v>48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69</v>
      </c>
      <c r="F62" s="481"/>
      <c r="G62" s="9"/>
      <c r="H62" s="480">
        <f>1+H61</f>
        <v>49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70</v>
      </c>
      <c r="F63" s="481"/>
      <c r="G63" s="9"/>
      <c r="H63" s="480">
        <f>1+H62</f>
        <v>50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71</v>
      </c>
      <c r="F64" s="481"/>
      <c r="G64" s="9"/>
      <c r="H64" s="480">
        <f>1+H63</f>
        <v>51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72</v>
      </c>
      <c r="F65" s="481"/>
      <c r="G65" s="9"/>
      <c r="H65" s="480">
        <f>1+H64</f>
        <v>52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73</v>
      </c>
      <c r="F66" s="481"/>
      <c r="G66" s="9"/>
      <c r="H66" s="480">
        <f>1+H65</f>
        <v>53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92D050"/>
    <pageSetUpPr fitToPage="1"/>
  </sheetPr>
  <dimension ref="A1:IU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"Спортшкола - Юноши" г.Ялта</v>
      </c>
      <c r="B1" s="576"/>
      <c r="C1" s="577" t="str">
        <f>IF(D11="","",VLOOKUP(D11,Список!B:O,12,FALSE))</f>
        <v>"РУСИЧИ" г.Симферополь</v>
      </c>
      <c r="D1" s="578"/>
      <c r="E1" s="579">
        <v>4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91</v>
      </c>
      <c r="B2" s="13" t="str">
        <f>IF(A2="","",VLOOKUP(A2,Список!E:O,2,FALSE))</f>
        <v xml:space="preserve"> Бородин Илья Николаевич</v>
      </c>
      <c r="C2" s="14">
        <f>IF($B$11="","",$D$11*10+1)</f>
        <v>11</v>
      </c>
      <c r="D2" s="15" t="str">
        <f>IF(C2="","",VLOOKUP(C2,Список!E:O,2,FALSE))</f>
        <v xml:space="preserve"> Кривошеев Вячеслав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92</v>
      </c>
      <c r="B3" s="13" t="str">
        <f>IF(A3="","",VLOOKUP(A3,Список!E:O,2,FALSE))</f>
        <v xml:space="preserve"> Чекалов Никита Геннадьевич</v>
      </c>
      <c r="C3" s="14">
        <f>IF($B$11="","",$D$11*10+2)</f>
        <v>12</v>
      </c>
      <c r="D3" s="15" t="str">
        <f>IF(C3="","",VLOOKUP(C3,Список!E:O,2,FALSE))</f>
        <v xml:space="preserve"> Панченко Артем Иванович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93</v>
      </c>
      <c r="B4" s="13" t="str">
        <f>IF(A4="","",VLOOKUP(A4,Список!E:O,2,FALSE))</f>
        <v xml:space="preserve"> Груздов Дарион Сергеевич</v>
      </c>
      <c r="C4" s="14">
        <f>IF($B$11="","",$D$11*10+3)</f>
        <v>13</v>
      </c>
      <c r="D4" s="15" t="str">
        <f>IF(C4="","",VLOOKUP(C4,Список!E:O,2,FALSE))</f>
        <v xml:space="preserve"> Исаков Илья Павлович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94</v>
      </c>
      <c r="B5" s="13" t="str">
        <f>IF(A5="","",VLOOKUP(A5,Список!E:O,2,FALSE))</f>
        <v xml:space="preserve"> Чекалов Дмитрий Геннадьевич</v>
      </c>
      <c r="C5" s="14">
        <f>IF($B$11="","",$D$11*10+4)</f>
        <v>14</v>
      </c>
      <c r="D5" s="15" t="str">
        <f>IF(C5="","",VLOOKUP(C5,Список!E:O,2,FALSE))</f>
        <v xml:space="preserve"> Масовер Андрей Ромазанович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95</v>
      </c>
      <c r="B6" s="13" t="str">
        <f>IF(A6="","",VLOOKUP(A6,Список!E:O,2,FALSE))</f>
        <v xml:space="preserve"> Михайленко Кирилл Вадимович</v>
      </c>
      <c r="C6" s="14">
        <f>IF($B$11="","",$D$11*10+5)</f>
        <v>15</v>
      </c>
      <c r="D6" s="15" t="str">
        <f>IF(C6="","",VLOOKUP(C6,Список!E:O,2,FALSE))</f>
        <v xml:space="preserve"> Губанов Никита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96</v>
      </c>
      <c r="B7" s="13" t="str">
        <f>IF(A7="","",VLOOKUP(A7,Список!E:O,2,FALSE))</f>
        <v xml:space="preserve"> Груздов Даниэль Сергеевич</v>
      </c>
      <c r="C7" s="14">
        <f>IF($B$11="","",$D$11*10+6)</f>
        <v>16</v>
      </c>
      <c r="D7" s="15" t="str">
        <f>IF(C7="","",VLOOKUP(C7,Список!E:O,2,FALSE))</f>
        <v xml:space="preserve"> Зайцев Игорь Владимирович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97</v>
      </c>
      <c r="B8" s="13" t="str">
        <f>IF(A8="","",VLOOKUP(A8,Список!E:O,2,FALSE))</f>
        <v>-</v>
      </c>
      <c r="C8" s="14">
        <f>IF($B$11="","",$D$11*10+7)</f>
        <v>17</v>
      </c>
      <c r="D8" s="15" t="str">
        <f>IF(C8="","",VLOOKUP(C8,Список!E:O,2,FALSE))</f>
        <v xml:space="preserve"> Щепетнев Дмитрий Владимирович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"РУСИЧИ"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"Спортшкола - Юноши" г.Ялта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98</v>
      </c>
      <c r="B9" s="13" t="str">
        <f>IF(A9="","",VLOOKUP(A9,Список!E:O,2,FALSE))</f>
        <v>-</v>
      </c>
      <c r="C9" s="14">
        <f>IF($B$11="","",$D$11*10+8)</f>
        <v>18</v>
      </c>
      <c r="D9" s="15" t="str">
        <f>IF(C9="","",VLOOKUP(C9,Список!E:O,2,FALSE))</f>
        <v xml:space="preserve"> Панков Леонид Александрович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9</v>
      </c>
      <c r="C11" s="27" t="s">
        <v>18</v>
      </c>
      <c r="D11" s="29">
        <f>IF(B11="","",IF(B11=A13,C13,IF(B11=C13,A13,)))</f>
        <v>1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"Спортшкола - Юноши" г.Ялта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"РУСИЧИ"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90</v>
      </c>
      <c r="D12" s="25">
        <f>IF(B11="","",D11*10)</f>
        <v>10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</v>
      </c>
      <c r="B13" s="566"/>
      <c r="C13" s="565">
        <f>IF($E$1="","",VLOOKUP($E$1,'Общее расписание'!$B:$V,3,FALSE))</f>
        <v>9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Прима В.А.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Панков Л.А.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1, встреча 4, 1 - 9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4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92</v>
      </c>
      <c r="C16" s="41" t="s">
        <v>35</v>
      </c>
      <c r="D16" s="40">
        <v>14</v>
      </c>
      <c r="E16" s="42" t="s">
        <v>172</v>
      </c>
      <c r="F16" s="42" t="s">
        <v>152</v>
      </c>
      <c r="G16" s="42" t="s">
        <v>173</v>
      </c>
      <c r="H16" s="42"/>
      <c r="I16" s="42"/>
      <c r="J16" s="43">
        <f>IF(E16="","",IF(E16="0",1000,IF(E16="-0",-1000,E16*1)))</f>
        <v>-5</v>
      </c>
      <c r="K16" s="43">
        <f>IF(F16="","",IF(F16="0",1000,IF(F16="-0",-1000,F16*1)))</f>
        <v>-7</v>
      </c>
      <c r="L16" s="43">
        <f>IF(G16="","",IF(G16="0",1000,IF(G16="-0",-1000,G16*1)))</f>
        <v>-4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Чекалов Никита Геннадьевич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Масовер Андрей Ромазанович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5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7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4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5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7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4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5</v>
      </c>
      <c r="IJ16" s="56">
        <f>IF(F16="","",EY16*1)</f>
        <v>7</v>
      </c>
      <c r="IK16" s="56">
        <f>IF(G16="","",FI16*1)</f>
        <v>4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16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95</v>
      </c>
      <c r="C17" s="41" t="s">
        <v>34</v>
      </c>
      <c r="D17" s="40">
        <v>17</v>
      </c>
      <c r="E17" s="42" t="s">
        <v>172</v>
      </c>
      <c r="F17" s="42" t="s">
        <v>156</v>
      </c>
      <c r="G17" s="42" t="s">
        <v>172</v>
      </c>
      <c r="H17" s="42"/>
      <c r="I17" s="42"/>
      <c r="J17" s="43">
        <f t="shared" ref="J17:N20" si="2">IF(E17="","",IF(E17="0",1000,IF(E17="-0",-1000,E17*1)))</f>
        <v>-5</v>
      </c>
      <c r="K17" s="43">
        <f t="shared" si="2"/>
        <v>-9</v>
      </c>
      <c r="L17" s="43">
        <f t="shared" si="2"/>
        <v>-5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Михайленко Кирилл Вадимович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Щепетнев Дмитрий Владимирович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5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9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5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5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9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5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5</v>
      </c>
      <c r="IJ17" s="56">
        <f>IF(F17="","",EY17*1)</f>
        <v>9</v>
      </c>
      <c r="IK17" s="56">
        <f>IF(G17="","",FI17*1)</f>
        <v>5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19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94</v>
      </c>
      <c r="C18" s="41" t="s">
        <v>37</v>
      </c>
      <c r="D18" s="40">
        <v>18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Чекалов Дмитрий Геннадьевич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Панков Леонид Александрович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92</v>
      </c>
      <c r="C19" s="41" t="s">
        <v>34</v>
      </c>
      <c r="D19" s="59">
        <f>IF(D17=0,"",D17)</f>
        <v>17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Чекалов Никита Геннадьевич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Щепетнев Дмитрий Владимирович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95</v>
      </c>
      <c r="C20" s="41" t="s">
        <v>35</v>
      </c>
      <c r="D20" s="59">
        <f>IF(D16=0,"",D16)</f>
        <v>14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Михайленко Кирилл Вадимович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Масовер Андрей Ромазанович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0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35</v>
      </c>
      <c r="IT21" s="65">
        <f>IF(E16="","",SUM(IT16:IT20))</f>
        <v>99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4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"Спортшкола - Юноши" г.Ялта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"РУСИЧИ"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92</v>
      </c>
      <c r="F57" s="481"/>
      <c r="G57" s="9"/>
      <c r="H57" s="480">
        <f>C2</f>
        <v>11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93</v>
      </c>
      <c r="F58" s="481"/>
      <c r="G58" s="9"/>
      <c r="H58" s="480">
        <f>C4</f>
        <v>13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96</v>
      </c>
      <c r="F59" s="481"/>
      <c r="G59" s="9"/>
      <c r="H59" s="480">
        <f>C7</f>
        <v>16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97</v>
      </c>
      <c r="F60" s="481"/>
      <c r="G60" s="9"/>
      <c r="H60" s="480">
        <f>C8</f>
        <v>17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98</v>
      </c>
      <c r="F61" s="481"/>
      <c r="G61" s="9"/>
      <c r="H61" s="480">
        <f>C9</f>
        <v>18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99</v>
      </c>
      <c r="F62" s="481"/>
      <c r="G62" s="9"/>
      <c r="H62" s="480">
        <f>1+H61</f>
        <v>19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100</v>
      </c>
      <c r="F63" s="481"/>
      <c r="G63" s="9"/>
      <c r="H63" s="480">
        <f>1+H62</f>
        <v>20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101</v>
      </c>
      <c r="F64" s="481"/>
      <c r="G64" s="9"/>
      <c r="H64" s="480">
        <f>1+H63</f>
        <v>21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102</v>
      </c>
      <c r="F65" s="481"/>
      <c r="G65" s="9"/>
      <c r="H65" s="480">
        <f>1+H64</f>
        <v>22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103</v>
      </c>
      <c r="F66" s="481"/>
      <c r="G66" s="9"/>
      <c r="H66" s="480">
        <f>1+H65</f>
        <v>23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BJ131"/>
  <sheetViews>
    <sheetView showWhiteSpace="0" view="pageBreakPreview" topLeftCell="A10" zoomScaleNormal="100" zoomScaleSheetLayoutView="100" workbookViewId="0">
      <selection activeCell="G50" sqref="G50"/>
    </sheetView>
  </sheetViews>
  <sheetFormatPr defaultColWidth="9.140625" defaultRowHeight="12.75" outlineLevelCol="1" x14ac:dyDescent="0.2"/>
  <cols>
    <col min="1" max="1" width="9.140625" style="94"/>
    <col min="2" max="2" width="3" style="94" customWidth="1" outlineLevel="1"/>
    <col min="3" max="4" width="6.28515625" style="94" customWidth="1"/>
    <col min="5" max="5" width="6.28515625" style="97" hidden="1" customWidth="1" outlineLevel="1"/>
    <col min="6" max="6" width="8.140625" style="165" hidden="1" customWidth="1" outlineLevel="1"/>
    <col min="7" max="7" width="45.140625" style="94" customWidth="1" collapsed="1"/>
    <col min="8" max="8" width="45.140625" style="94" customWidth="1"/>
    <col min="9" max="9" width="11.28515625" style="95" customWidth="1" outlineLevel="1"/>
    <col min="10" max="10" width="6" style="97" customWidth="1" outlineLevel="1"/>
    <col min="11" max="11" width="6.28515625" style="97" customWidth="1" outlineLevel="1"/>
    <col min="12" max="13" width="3.42578125" style="98" customWidth="1" outlineLevel="1"/>
    <col min="14" max="14" width="19.140625" style="94" customWidth="1" outlineLevel="1"/>
    <col min="15" max="15" width="25.42578125" style="94" customWidth="1" outlineLevel="1"/>
    <col min="16" max="17" width="9.28515625" style="94" customWidth="1" outlineLevel="1"/>
    <col min="18" max="18" width="34" style="94" customWidth="1" outlineLevel="1"/>
    <col min="19" max="16384" width="9.140625" style="94"/>
  </cols>
  <sheetData>
    <row r="1" spans="1:62" ht="42.75" customHeight="1" x14ac:dyDescent="0.2">
      <c r="C1" s="349" t="s">
        <v>149</v>
      </c>
      <c r="D1" s="350"/>
      <c r="E1" s="350"/>
      <c r="F1" s="350"/>
      <c r="G1" s="350"/>
      <c r="H1" s="350"/>
      <c r="J1" s="94"/>
      <c r="K1" s="94"/>
      <c r="L1" s="96"/>
      <c r="M1" s="96"/>
    </row>
    <row r="2" spans="1:62" ht="18" x14ac:dyDescent="0.2">
      <c r="C2" s="350" t="s">
        <v>150</v>
      </c>
      <c r="D2" s="350"/>
      <c r="E2" s="350"/>
      <c r="F2" s="350"/>
      <c r="G2" s="350"/>
      <c r="H2" s="350"/>
      <c r="J2" s="94"/>
      <c r="K2" s="94"/>
      <c r="L2" s="96"/>
      <c r="M2" s="96"/>
    </row>
    <row r="3" spans="1:62" ht="20.25" x14ac:dyDescent="0.2">
      <c r="C3" s="351" t="s">
        <v>71</v>
      </c>
      <c r="D3" s="351"/>
      <c r="E3" s="351"/>
      <c r="F3" s="351"/>
      <c r="G3" s="351"/>
      <c r="H3" s="351"/>
    </row>
    <row r="4" spans="1:62" ht="8.25" customHeight="1" x14ac:dyDescent="0.2">
      <c r="C4" s="138"/>
      <c r="D4" s="138"/>
      <c r="E4" s="138"/>
      <c r="F4" s="162"/>
      <c r="G4" s="138"/>
      <c r="H4" s="138"/>
    </row>
    <row r="5" spans="1:62" ht="18" x14ac:dyDescent="0.2">
      <c r="C5" s="352">
        <v>45227</v>
      </c>
      <c r="D5" s="352"/>
      <c r="E5" s="352"/>
      <c r="F5" s="352"/>
      <c r="G5" s="352"/>
      <c r="H5" s="352"/>
      <c r="J5" s="94"/>
      <c r="K5" s="94"/>
      <c r="L5" s="96"/>
      <c r="M5" s="96"/>
    </row>
    <row r="6" spans="1:62" ht="18" x14ac:dyDescent="0.2">
      <c r="C6" s="353" t="s">
        <v>72</v>
      </c>
      <c r="D6" s="353"/>
      <c r="E6" s="353"/>
      <c r="F6" s="353"/>
      <c r="G6" s="353"/>
      <c r="H6" s="353"/>
      <c r="J6" s="94"/>
      <c r="K6" s="94"/>
      <c r="L6" s="96"/>
      <c r="M6" s="96"/>
    </row>
    <row r="7" spans="1:62" ht="22.5" customHeight="1" x14ac:dyDescent="0.2">
      <c r="A7" s="151">
        <f t="shared" ref="A7:A38" si="0">MIN(C7:D7)*100+MAX(C7:D7)</f>
        <v>307</v>
      </c>
      <c r="B7" s="94">
        <f>E7</f>
        <v>1</v>
      </c>
      <c r="C7" s="201">
        <v>3</v>
      </c>
      <c r="D7" s="201">
        <v>7</v>
      </c>
      <c r="E7" s="201">
        <v>1</v>
      </c>
      <c r="F7" s="202"/>
      <c r="G7" s="203" t="str">
        <f>IF(C7="","",VLOOKUP(C7,Список!B:P,12,FALSE))</f>
        <v>«Интер»  г.Евпатория</v>
      </c>
      <c r="H7" s="203" t="str">
        <f>IF(D7="","",VLOOKUP(D7,Список!B:P,12,FALSE))</f>
        <v>«Спортшкола» г. Ялта</v>
      </c>
      <c r="I7" s="149">
        <f>$C$5</f>
        <v>45227</v>
      </c>
      <c r="J7" s="126" t="s">
        <v>91</v>
      </c>
      <c r="K7" s="97" t="str">
        <f>CONCATENATE(C7," - ",D7)</f>
        <v>3 - 7</v>
      </c>
      <c r="L7" s="98">
        <v>1</v>
      </c>
      <c r="M7" s="98">
        <v>1</v>
      </c>
      <c r="N7" s="94" t="str">
        <f>CONCATENATE("тур ",L7,", встреча ",M7)</f>
        <v>тур 1, встреча 1</v>
      </c>
      <c r="O7" s="94" t="str">
        <f>CONCATENATE("тур ",L7,", встреча ",M7,", ",K7)</f>
        <v>тур 1, встреча 1, 3 - 7</v>
      </c>
      <c r="P7" s="94" t="str">
        <f>MID(C1,1,SEARCH("среди",C1)-2)</f>
        <v>ЧЕМПИОНАТ РЕСПУБЛИКИ КРЫМ сезона 2023 г. 
по настольному теннису</v>
      </c>
      <c r="Q7" s="94" t="str">
        <f>MID(C1,SEARCH("среди",C1),100)</f>
        <v>среди команд ВЫСШЕЙ ЛИГИ (3 тур)</v>
      </c>
      <c r="R7" s="153" t="s">
        <v>151</v>
      </c>
      <c r="S7" s="151"/>
      <c r="T7" s="151"/>
      <c r="U7" s="151"/>
      <c r="V7" s="151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</row>
    <row r="8" spans="1:62" ht="22.5" customHeight="1" x14ac:dyDescent="0.2">
      <c r="A8" s="158">
        <f t="shared" si="0"/>
        <v>208</v>
      </c>
      <c r="B8" s="94">
        <f t="shared" ref="B8:B60" si="1">E8</f>
        <v>2</v>
      </c>
      <c r="C8" s="201">
        <v>2</v>
      </c>
      <c r="D8" s="201">
        <v>8</v>
      </c>
      <c r="E8" s="201">
        <f>1+E7</f>
        <v>2</v>
      </c>
      <c r="F8" s="202"/>
      <c r="G8" s="203" t="str">
        <f>IF(C8="","",VLOOKUP(C8,Список!B:P,12,FALSE))</f>
        <v>«Аэропорт - СШ №3» г.Симферополь</v>
      </c>
      <c r="H8" s="203" t="str">
        <f>IF(D8="","",VLOOKUP(D8,Список!B:P,12,FALSE))</f>
        <v>«СШ №3(1)» г.Симферополь</v>
      </c>
      <c r="I8" s="149">
        <f>$C$5</f>
        <v>45227</v>
      </c>
      <c r="J8" s="126" t="s">
        <v>91</v>
      </c>
      <c r="K8" s="97" t="str">
        <f>CONCATENATE(C8," - ",D8)</f>
        <v>2 - 8</v>
      </c>
      <c r="L8" s="98">
        <v>1</v>
      </c>
      <c r="M8" s="98">
        <f>1+M7</f>
        <v>2</v>
      </c>
      <c r="N8" s="94" t="str">
        <f>CONCATENATE("тур ",L8,", встреча ",M8)</f>
        <v>тур 1, встреча 2</v>
      </c>
      <c r="O8" s="94" t="str">
        <f>CONCATENATE("тур ",L8,", встреча ",M8,", ",K8)</f>
        <v>тур 1, встреча 2, 2 - 8</v>
      </c>
      <c r="P8" s="94" t="str">
        <f>P7</f>
        <v>ЧЕМПИОНАТ РЕСПУБЛИКИ КРЫМ сезона 2023 г. 
по настольному теннису</v>
      </c>
      <c r="Q8" s="94" t="str">
        <f>Q7</f>
        <v>среди команд ВЫСШЕЙ ЛИГИ (3 тур)</v>
      </c>
      <c r="R8" s="94" t="str">
        <f>R7</f>
        <v>г. Симферополь 
28-29 октября 2023 г.</v>
      </c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</row>
    <row r="9" spans="1:62" ht="22.5" customHeight="1" x14ac:dyDescent="0.2">
      <c r="A9" s="158">
        <f t="shared" si="0"/>
        <v>406</v>
      </c>
      <c r="B9" s="94">
        <f t="shared" si="1"/>
        <v>3</v>
      </c>
      <c r="C9" s="201">
        <v>4</v>
      </c>
      <c r="D9" s="201">
        <v>6</v>
      </c>
      <c r="E9" s="201">
        <v>3</v>
      </c>
      <c r="F9" s="202"/>
      <c r="G9" s="203" t="str">
        <f>IF(C9="","",VLOOKUP(C9,Список!B:P,12,FALSE))</f>
        <v>«Дрим Тим» г.Симферополь</v>
      </c>
      <c r="H9" s="203" t="str">
        <f>IF(D9="","",VLOOKUP(D9,Список!B:P,12,FALSE))</f>
        <v>«АРСЕНАЛ-С» г.Севастополь</v>
      </c>
      <c r="I9" s="149">
        <f>$C$5</f>
        <v>45227</v>
      </c>
      <c r="J9" s="126" t="s">
        <v>91</v>
      </c>
      <c r="K9" s="97" t="str">
        <f>CONCATENATE(C9," - ",D9)</f>
        <v>4 - 6</v>
      </c>
      <c r="L9" s="98">
        <v>1</v>
      </c>
      <c r="M9" s="98">
        <f>1+M8</f>
        <v>3</v>
      </c>
      <c r="N9" s="94" t="str">
        <f>CONCATENATE("тур ",L9,", встреча ",M9)</f>
        <v>тур 1, встреча 3</v>
      </c>
      <c r="O9" s="94" t="str">
        <f>CONCATENATE("тур ",L9,", встреча ",M9,", ",K9)</f>
        <v>тур 1, встреча 3, 4 - 6</v>
      </c>
      <c r="P9" s="94" t="str">
        <f>P8</f>
        <v>ЧЕМПИОНАТ РЕСПУБЛИКИ КРЫМ сезона 2023 г. 
по настольному теннису</v>
      </c>
      <c r="Q9" s="94" t="str">
        <f>Q8</f>
        <v>среди команд ВЫСШЕЙ ЛИГИ (3 тур)</v>
      </c>
      <c r="R9" s="94" t="str">
        <f t="shared" ref="R9:R58" si="2">R8</f>
        <v>г. Симферополь 
28-29 октября 2023 г.</v>
      </c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</row>
    <row r="10" spans="1:62" ht="22.5" customHeight="1" x14ac:dyDescent="0.2">
      <c r="A10" s="158">
        <f t="shared" si="0"/>
        <v>109</v>
      </c>
      <c r="B10" s="94">
        <f>E10</f>
        <v>4</v>
      </c>
      <c r="C10" s="201">
        <v>1</v>
      </c>
      <c r="D10" s="201">
        <v>9</v>
      </c>
      <c r="E10" s="201">
        <v>4</v>
      </c>
      <c r="F10" s="202"/>
      <c r="G10" s="203" t="str">
        <f>IF(C10="","",VLOOKUP(C10,Список!B:P,12,FALSE))</f>
        <v>"РУСИЧИ" г.Симферополь</v>
      </c>
      <c r="H10" s="203" t="str">
        <f>IF(D10="","",VLOOKUP(D10,Список!B:P,12,FALSE))</f>
        <v>"Спортшкола - Юноши" г.Ялта</v>
      </c>
      <c r="I10" s="149">
        <f>$C$5</f>
        <v>45227</v>
      </c>
      <c r="J10" s="126" t="s">
        <v>91</v>
      </c>
      <c r="K10" s="97" t="str">
        <f>CONCATENATE(C10," - ",D10)</f>
        <v>1 - 9</v>
      </c>
      <c r="L10" s="98">
        <v>1</v>
      </c>
      <c r="M10" s="98">
        <f>1+M9</f>
        <v>4</v>
      </c>
      <c r="N10" s="94" t="str">
        <f>CONCATENATE("тур ",L10,", встреча ",M10)</f>
        <v>тур 1, встреча 4</v>
      </c>
      <c r="O10" s="94" t="str">
        <f>CONCATENATE("тур ",L10,", встреча ",M10,", ",K10)</f>
        <v>тур 1, встреча 4, 1 - 9</v>
      </c>
      <c r="P10" s="94" t="str">
        <f>P8</f>
        <v>ЧЕМПИОНАТ РЕСПУБЛИКИ КРЫМ сезона 2023 г. 
по настольному теннису</v>
      </c>
      <c r="Q10" s="94" t="str">
        <f t="shared" ref="Q10:Q60" si="3">Q9</f>
        <v>среди команд ВЫСШЕЙ ЛИГИ (3 тур)</v>
      </c>
      <c r="R10" s="94" t="str">
        <f>R8</f>
        <v>г. Симферополь 
28-29 октября 2023 г.</v>
      </c>
    </row>
    <row r="11" spans="1:62" ht="22.5" customHeight="1" x14ac:dyDescent="0.2">
      <c r="A11" s="158">
        <f t="shared" si="0"/>
        <v>510</v>
      </c>
      <c r="B11" s="94">
        <f t="shared" si="1"/>
        <v>5</v>
      </c>
      <c r="C11" s="201">
        <v>5</v>
      </c>
      <c r="D11" s="201">
        <v>10</v>
      </c>
      <c r="E11" s="201">
        <v>5</v>
      </c>
      <c r="F11" s="202"/>
      <c r="G11" s="203" t="str">
        <f>IF(C11="","",VLOOKUP(C11,Список!B:P,12,FALSE))</f>
        <v>«Рассвет» г.Симферополь</v>
      </c>
      <c r="H11" s="203" t="str">
        <f>IF(D11="","",VLOOKUP(D11,Список!B:P,12,FALSE))</f>
        <v>«СШ №3(2)» г.Симферополь</v>
      </c>
      <c r="I11" s="149">
        <f>$C$5</f>
        <v>45227</v>
      </c>
      <c r="J11" s="126" t="s">
        <v>91</v>
      </c>
      <c r="K11" s="97" t="str">
        <f>CONCATENATE(C11," - ",D11)</f>
        <v>5 - 10</v>
      </c>
      <c r="L11" s="98">
        <v>1</v>
      </c>
      <c r="M11" s="98">
        <f>1+M10</f>
        <v>5</v>
      </c>
      <c r="N11" s="94" t="str">
        <f>CONCATENATE("тур ",L11,", встреча ",M11)</f>
        <v>тур 1, встреча 5</v>
      </c>
      <c r="O11" s="94" t="str">
        <f>CONCATENATE("тур ",L11,", встреча ",M11,", ",K11)</f>
        <v>тур 1, встреча 5, 5 - 10</v>
      </c>
      <c r="P11" s="94" t="str">
        <f>P9</f>
        <v>ЧЕМПИОНАТ РЕСПУБЛИКИ КРЫМ сезона 2023 г. 
по настольному теннису</v>
      </c>
      <c r="Q11" s="94" t="str">
        <f t="shared" si="3"/>
        <v>среди команд ВЫСШЕЙ ЛИГИ (3 тур)</v>
      </c>
      <c r="R11" s="94" t="str">
        <f>R9</f>
        <v>г. Симферополь 
28-29 октября 2023 г.</v>
      </c>
    </row>
    <row r="12" spans="1:62" ht="22.5" customHeight="1" x14ac:dyDescent="0.2">
      <c r="A12" s="158">
        <f t="shared" si="0"/>
        <v>0</v>
      </c>
      <c r="B12" s="94">
        <f t="shared" si="1"/>
        <v>0</v>
      </c>
      <c r="C12" s="356" t="s">
        <v>73</v>
      </c>
      <c r="D12" s="356"/>
      <c r="E12" s="356"/>
      <c r="F12" s="356"/>
      <c r="G12" s="356"/>
      <c r="H12" s="356"/>
      <c r="I12" s="149"/>
      <c r="P12" s="94" t="str">
        <f>P11</f>
        <v>ЧЕМПИОНАТ РЕСПУБЛИКИ КРЫМ сезона 2023 г. 
по настольному теннису</v>
      </c>
      <c r="Q12" s="94" t="str">
        <f t="shared" si="3"/>
        <v>среди команд ВЫСШЕЙ ЛИГИ (3 тур)</v>
      </c>
      <c r="R12" s="94" t="str">
        <f t="shared" si="2"/>
        <v>г. Симферополь 
28-29 октября 2023 г.</v>
      </c>
    </row>
    <row r="13" spans="1:62" ht="22.5" customHeight="1" x14ac:dyDescent="0.2">
      <c r="A13" s="158">
        <f t="shared" si="0"/>
        <v>207</v>
      </c>
      <c r="B13" s="94">
        <f t="shared" si="1"/>
        <v>6</v>
      </c>
      <c r="C13" s="201">
        <v>7</v>
      </c>
      <c r="D13" s="201">
        <v>2</v>
      </c>
      <c r="E13" s="201">
        <f>E11+1</f>
        <v>6</v>
      </c>
      <c r="F13" s="202"/>
      <c r="G13" s="203" t="str">
        <f>IF(C13="","",VLOOKUP(C13,Список!B:P,12,FALSE))</f>
        <v>«Спортшкола» г. Ялта</v>
      </c>
      <c r="H13" s="203" t="str">
        <f>IF(D13="","",VLOOKUP(D13,Список!B:P,12,FALSE))</f>
        <v>«Аэропорт - СШ №3» г.Симферополь</v>
      </c>
      <c r="I13" s="149">
        <f t="shared" ref="I13:I29" si="4">$C$5</f>
        <v>45227</v>
      </c>
      <c r="J13" s="127" t="s">
        <v>92</v>
      </c>
      <c r="K13" s="97" t="str">
        <f>CONCATENATE(C13," - ",D13)</f>
        <v>7 - 2</v>
      </c>
      <c r="L13" s="98">
        <f>1+L7</f>
        <v>2</v>
      </c>
      <c r="M13" s="98">
        <f>M11+1</f>
        <v>6</v>
      </c>
      <c r="N13" s="94" t="str">
        <f>CONCATENATE("тур ",L13,", встреча ",M13)</f>
        <v>тур 2, встреча 6</v>
      </c>
      <c r="O13" s="94" t="str">
        <f>CONCATENATE("тур ",L13,", встреча ",M13,", ",K13)</f>
        <v>тур 2, встреча 6, 7 - 2</v>
      </c>
      <c r="P13" s="94" t="str">
        <f>P12</f>
        <v>ЧЕМПИОНАТ РЕСПУБЛИКИ КРЫМ сезона 2023 г. 
по настольному теннису</v>
      </c>
      <c r="Q13" s="94" t="str">
        <f t="shared" si="3"/>
        <v>среди команд ВЫСШЕЙ ЛИГИ (3 тур)</v>
      </c>
      <c r="R13" s="94" t="str">
        <f t="shared" si="2"/>
        <v>г. Симферополь 
28-29 октября 2023 г.</v>
      </c>
    </row>
    <row r="14" spans="1:62" ht="22.5" customHeight="1" x14ac:dyDescent="0.2">
      <c r="A14" s="158">
        <f t="shared" si="0"/>
        <v>306</v>
      </c>
      <c r="B14" s="94">
        <f>E14</f>
        <v>7</v>
      </c>
      <c r="C14" s="201">
        <v>6</v>
      </c>
      <c r="D14" s="201">
        <v>3</v>
      </c>
      <c r="E14" s="201">
        <f>1+E13</f>
        <v>7</v>
      </c>
      <c r="F14" s="202"/>
      <c r="G14" s="203" t="str">
        <f>IF(C14="","",VLOOKUP(C14,Список!B:P,12,FALSE))</f>
        <v>«АРСЕНАЛ-С» г.Севастополь</v>
      </c>
      <c r="H14" s="203" t="str">
        <f>IF(D14="","",VLOOKUP(D14,Список!B:P,12,FALSE))</f>
        <v>«Интер»  г.Евпатория</v>
      </c>
      <c r="I14" s="149">
        <f t="shared" si="4"/>
        <v>45227</v>
      </c>
      <c r="J14" s="127" t="s">
        <v>92</v>
      </c>
      <c r="K14" s="97" t="str">
        <f>CONCATENATE(C14," - ",D14)</f>
        <v>6 - 3</v>
      </c>
      <c r="L14" s="98">
        <f>1+L7</f>
        <v>2</v>
      </c>
      <c r="M14" s="98">
        <f>1+M13</f>
        <v>7</v>
      </c>
      <c r="N14" s="94" t="str">
        <f>CONCATENATE("тур ",L14,", встреча ",M14)</f>
        <v>тур 2, встреча 7</v>
      </c>
      <c r="O14" s="94" t="str">
        <f>CONCATENATE("тур ",L14,", встреча ",M14,", ",K14)</f>
        <v>тур 2, встреча 7, 6 - 3</v>
      </c>
      <c r="P14" s="94" t="str">
        <f>P13</f>
        <v>ЧЕМПИОНАТ РЕСПУБЛИКИ КРЫМ сезона 2023 г. 
по настольному теннису</v>
      </c>
      <c r="Q14" s="94" t="str">
        <f t="shared" si="3"/>
        <v>среди команд ВЫСШЕЙ ЛИГИ (3 тур)</v>
      </c>
      <c r="R14" s="94" t="str">
        <f t="shared" si="2"/>
        <v>г. Симферополь 
28-29 октября 2023 г.</v>
      </c>
    </row>
    <row r="15" spans="1:62" ht="22.5" customHeight="1" x14ac:dyDescent="0.2">
      <c r="A15" s="158">
        <f t="shared" si="0"/>
        <v>108</v>
      </c>
      <c r="B15" s="94">
        <f t="shared" si="1"/>
        <v>8</v>
      </c>
      <c r="C15" s="201">
        <v>8</v>
      </c>
      <c r="D15" s="201">
        <v>1</v>
      </c>
      <c r="E15" s="201">
        <f>1+E14</f>
        <v>8</v>
      </c>
      <c r="F15" s="202"/>
      <c r="G15" s="203" t="str">
        <f>IF(C15="","",VLOOKUP(C15,Список!B:P,12,FALSE))</f>
        <v>«СШ №3(1)» г.Симферополь</v>
      </c>
      <c r="H15" s="203" t="str">
        <f>IF(D15="","",VLOOKUP(D15,Список!B:P,12,FALSE))</f>
        <v>"РУСИЧИ" г.Симферополь</v>
      </c>
      <c r="I15" s="149">
        <f t="shared" si="4"/>
        <v>45227</v>
      </c>
      <c r="J15" s="127" t="s">
        <v>92</v>
      </c>
      <c r="K15" s="97" t="str">
        <f>CONCATENATE(C15," - ",D15)</f>
        <v>8 - 1</v>
      </c>
      <c r="L15" s="98">
        <f>1+L8</f>
        <v>2</v>
      </c>
      <c r="M15" s="98">
        <f>1+M14</f>
        <v>8</v>
      </c>
      <c r="N15" s="94" t="str">
        <f>CONCATENATE("тур ",L15,", встреча ",M15)</f>
        <v>тур 2, встреча 8</v>
      </c>
      <c r="O15" s="94" t="str">
        <f>CONCATENATE("тур ",L15,", встреча ",M15,", ",K15)</f>
        <v>тур 2, встреча 8, 8 - 1</v>
      </c>
      <c r="P15" s="94" t="str">
        <f>P14</f>
        <v>ЧЕМПИОНАТ РЕСПУБЛИКИ КРЫМ сезона 2023 г. 
по настольному теннису</v>
      </c>
      <c r="Q15" s="94" t="str">
        <f t="shared" si="3"/>
        <v>среди команд ВЫСШЕЙ ЛИГИ (3 тур)</v>
      </c>
      <c r="R15" s="94" t="str">
        <f t="shared" si="2"/>
        <v>г. Симферополь 
28-29 октября 2023 г.</v>
      </c>
    </row>
    <row r="16" spans="1:62" ht="22.5" customHeight="1" x14ac:dyDescent="0.2">
      <c r="A16" s="158">
        <f t="shared" si="0"/>
        <v>410</v>
      </c>
      <c r="B16" s="94">
        <f>E16</f>
        <v>9</v>
      </c>
      <c r="C16" s="201">
        <v>10</v>
      </c>
      <c r="D16" s="201">
        <v>4</v>
      </c>
      <c r="E16" s="201">
        <f>1+E15</f>
        <v>9</v>
      </c>
      <c r="F16" s="202"/>
      <c r="G16" s="203" t="str">
        <f>IF(C16="","",VLOOKUP(C16,Список!B:P,12,FALSE))</f>
        <v>«СШ №3(2)» г.Симферополь</v>
      </c>
      <c r="H16" s="203" t="str">
        <f>IF(D16="","",VLOOKUP(D16,Список!B:P,12,FALSE))</f>
        <v>«Дрим Тим» г.Симферополь</v>
      </c>
      <c r="I16" s="149">
        <f t="shared" si="4"/>
        <v>45227</v>
      </c>
      <c r="J16" s="127" t="s">
        <v>92</v>
      </c>
      <c r="K16" s="97" t="str">
        <f>CONCATENATE(C16," - ",D16)</f>
        <v>10 - 4</v>
      </c>
      <c r="L16" s="98">
        <f>1+L10</f>
        <v>2</v>
      </c>
      <c r="M16" s="98">
        <f>1+M15</f>
        <v>9</v>
      </c>
      <c r="N16" s="94" t="str">
        <f>CONCATENATE("тур ",L16,", встреча ",M16)</f>
        <v>тур 2, встреча 9</v>
      </c>
      <c r="O16" s="94" t="str">
        <f>CONCATENATE("тур ",L16,", встреча ",M16,", ",K16)</f>
        <v>тур 2, встреча 9, 10 - 4</v>
      </c>
      <c r="P16" s="94" t="str">
        <f>P14</f>
        <v>ЧЕМПИОНАТ РЕСПУБЛИКИ КРЫМ сезона 2023 г. 
по настольному теннису</v>
      </c>
      <c r="Q16" s="94" t="str">
        <f t="shared" si="3"/>
        <v>среди команд ВЫСШЕЙ ЛИГИ (3 тур)</v>
      </c>
      <c r="R16" s="94" t="str">
        <f>R14</f>
        <v>г. Симферополь 
28-29 октября 2023 г.</v>
      </c>
    </row>
    <row r="17" spans="1:18" ht="22.5" customHeight="1" x14ac:dyDescent="0.2">
      <c r="A17" s="158">
        <f t="shared" si="0"/>
        <v>509</v>
      </c>
      <c r="B17" s="94">
        <f t="shared" si="1"/>
        <v>10</v>
      </c>
      <c r="C17" s="201">
        <v>9</v>
      </c>
      <c r="D17" s="201">
        <v>5</v>
      </c>
      <c r="E17" s="201">
        <f>1+E16</f>
        <v>10</v>
      </c>
      <c r="F17" s="202"/>
      <c r="G17" s="203" t="str">
        <f>IF(C17="","",VLOOKUP(C17,Список!B:P,12,FALSE))</f>
        <v>"Спортшкола - Юноши" г.Ялта</v>
      </c>
      <c r="H17" s="203" t="str">
        <f>IF(D17="","",VLOOKUP(D17,Список!B:P,12,FALSE))</f>
        <v>«Рассвет» г.Симферополь</v>
      </c>
      <c r="I17" s="149">
        <f t="shared" si="4"/>
        <v>45227</v>
      </c>
      <c r="J17" s="127" t="s">
        <v>92</v>
      </c>
      <c r="K17" s="97" t="str">
        <f>CONCATENATE(C17," - ",D17)</f>
        <v>9 - 5</v>
      </c>
      <c r="L17" s="98">
        <f>1+L11</f>
        <v>2</v>
      </c>
      <c r="M17" s="98">
        <f>1+M16</f>
        <v>10</v>
      </c>
      <c r="N17" s="94" t="str">
        <f>CONCATENATE("тур ",L17,", встреча ",M17)</f>
        <v>тур 2, встреча 10</v>
      </c>
      <c r="O17" s="94" t="str">
        <f>CONCATENATE("тур ",L17,", встреча ",M17,", ",K17)</f>
        <v>тур 2, встреча 10, 9 - 5</v>
      </c>
      <c r="P17" s="94" t="str">
        <f>P15</f>
        <v>ЧЕМПИОНАТ РЕСПУБЛИКИ КРЫМ сезона 2023 г. 
по настольному теннису</v>
      </c>
      <c r="Q17" s="94" t="str">
        <f t="shared" si="3"/>
        <v>среди команд ВЫСШЕЙ ЛИГИ (3 тур)</v>
      </c>
      <c r="R17" s="94" t="str">
        <f>R15</f>
        <v>г. Симферополь 
28-29 октября 2023 г.</v>
      </c>
    </row>
    <row r="18" spans="1:18" ht="22.5" customHeight="1" x14ac:dyDescent="0.2">
      <c r="A18" s="158">
        <f t="shared" si="0"/>
        <v>0</v>
      </c>
      <c r="B18" s="94">
        <f t="shared" si="1"/>
        <v>0</v>
      </c>
      <c r="C18" s="357" t="s">
        <v>74</v>
      </c>
      <c r="D18" s="357"/>
      <c r="E18" s="357"/>
      <c r="F18" s="357"/>
      <c r="G18" s="357"/>
      <c r="H18" s="357"/>
      <c r="I18" s="149"/>
      <c r="P18" s="94" t="str">
        <f>P17</f>
        <v>ЧЕМПИОНАТ РЕСПУБЛИКИ КРЫМ сезона 2023 г. 
по настольному теннису</v>
      </c>
      <c r="Q18" s="94" t="str">
        <f t="shared" si="3"/>
        <v>среди команд ВЫСШЕЙ ЛИГИ (3 тур)</v>
      </c>
      <c r="R18" s="94" t="str">
        <f t="shared" si="2"/>
        <v>г. Симферополь 
28-29 октября 2023 г.</v>
      </c>
    </row>
    <row r="19" spans="1:18" ht="22.5" customHeight="1" x14ac:dyDescent="0.2">
      <c r="A19" s="158">
        <f t="shared" si="0"/>
        <v>206</v>
      </c>
      <c r="B19" s="94">
        <f t="shared" si="1"/>
        <v>11</v>
      </c>
      <c r="C19" s="201">
        <v>2</v>
      </c>
      <c r="D19" s="201">
        <v>6</v>
      </c>
      <c r="E19" s="201">
        <f>E17+1</f>
        <v>11</v>
      </c>
      <c r="F19" s="202"/>
      <c r="G19" s="203" t="str">
        <f>IF(C19="","",VLOOKUP(C19,Список!B:P,12,FALSE))</f>
        <v>«Аэропорт - СШ №3» г.Симферополь</v>
      </c>
      <c r="H19" s="203" t="str">
        <f>IF(D19="","",VLOOKUP(D19,Список!B:P,12,FALSE))</f>
        <v>«АРСЕНАЛ-С» г.Севастополь</v>
      </c>
      <c r="I19" s="149">
        <f t="shared" si="4"/>
        <v>45227</v>
      </c>
      <c r="J19" s="127" t="s">
        <v>93</v>
      </c>
      <c r="K19" s="97" t="str">
        <f>CONCATENATE(C19," - ",D19)</f>
        <v>2 - 6</v>
      </c>
      <c r="L19" s="98">
        <f>1+L13</f>
        <v>3</v>
      </c>
      <c r="M19" s="98">
        <f>M17+1</f>
        <v>11</v>
      </c>
      <c r="N19" s="94" t="str">
        <f>CONCATENATE("тур ",L19,", встреча ",M19)</f>
        <v>тур 3, встреча 11</v>
      </c>
      <c r="O19" s="94" t="str">
        <f>CONCATENATE("тур ",L19,", встреча ",M19,", ",K19)</f>
        <v>тур 3, встреча 11, 2 - 6</v>
      </c>
      <c r="P19" s="94" t="str">
        <f>P18</f>
        <v>ЧЕМПИОНАТ РЕСПУБЛИКИ КРЫМ сезона 2023 г. 
по настольному теннису</v>
      </c>
      <c r="Q19" s="94" t="str">
        <f t="shared" si="3"/>
        <v>среди команд ВЫСШЕЙ ЛИГИ (3 тур)</v>
      </c>
      <c r="R19" s="94" t="str">
        <f t="shared" si="2"/>
        <v>г. Симферополь 
28-29 октября 2023 г.</v>
      </c>
    </row>
    <row r="20" spans="1:18" ht="22.5" customHeight="1" x14ac:dyDescent="0.2">
      <c r="A20" s="158">
        <f t="shared" si="0"/>
        <v>107</v>
      </c>
      <c r="B20" s="94">
        <f t="shared" si="1"/>
        <v>12</v>
      </c>
      <c r="C20" s="201">
        <v>1</v>
      </c>
      <c r="D20" s="201">
        <v>7</v>
      </c>
      <c r="E20" s="201">
        <f>1+E19</f>
        <v>12</v>
      </c>
      <c r="F20" s="202"/>
      <c r="G20" s="203" t="str">
        <f>IF(C20="","",VLOOKUP(C20,Список!B:P,12,FALSE))</f>
        <v>"РУСИЧИ" г.Симферополь</v>
      </c>
      <c r="H20" s="203" t="str">
        <f>IF(D20="","",VLOOKUP(D20,Список!B:P,12,FALSE))</f>
        <v>«Спортшкола» г. Ялта</v>
      </c>
      <c r="I20" s="149">
        <f t="shared" si="4"/>
        <v>45227</v>
      </c>
      <c r="J20" s="127" t="s">
        <v>93</v>
      </c>
      <c r="K20" s="97" t="str">
        <f>CONCATENATE(C20," - ",D20)</f>
        <v>1 - 7</v>
      </c>
      <c r="L20" s="98">
        <f>1+L15</f>
        <v>3</v>
      </c>
      <c r="M20" s="98">
        <f>1+M19</f>
        <v>12</v>
      </c>
      <c r="N20" s="94" t="str">
        <f>CONCATENATE("тур ",L20,", встреча ",M20)</f>
        <v>тур 3, встреча 12</v>
      </c>
      <c r="O20" s="94" t="str">
        <f>CONCATENATE("тур ",L20,", встреча ",M20,", ",K20)</f>
        <v>тур 3, встреча 12, 1 - 7</v>
      </c>
      <c r="P20" s="94" t="str">
        <f>P19</f>
        <v>ЧЕМПИОНАТ РЕСПУБЛИКИ КРЫМ сезона 2023 г. 
по настольному теннису</v>
      </c>
      <c r="Q20" s="94" t="str">
        <f t="shared" si="3"/>
        <v>среди команд ВЫСШЕЙ ЛИГИ (3 тур)</v>
      </c>
      <c r="R20" s="94" t="str">
        <f t="shared" si="2"/>
        <v>г. Симферополь 
28-29 октября 2023 г.</v>
      </c>
    </row>
    <row r="21" spans="1:18" ht="22.5" customHeight="1" x14ac:dyDescent="0.2">
      <c r="A21" s="158">
        <f t="shared" si="0"/>
        <v>310</v>
      </c>
      <c r="B21" s="94">
        <f t="shared" si="1"/>
        <v>13</v>
      </c>
      <c r="C21" s="201">
        <v>3</v>
      </c>
      <c r="D21" s="201">
        <v>10</v>
      </c>
      <c r="E21" s="201">
        <f>1+E20</f>
        <v>13</v>
      </c>
      <c r="F21" s="202"/>
      <c r="G21" s="203" t="str">
        <f>IF(C21="","",VLOOKUP(C21,Список!B:P,12,FALSE))</f>
        <v>«Интер»  г.Евпатория</v>
      </c>
      <c r="H21" s="203" t="str">
        <f>IF(D21="","",VLOOKUP(D21,Список!B:P,12,FALSE))</f>
        <v>«СШ №3(2)» г.Симферополь</v>
      </c>
      <c r="I21" s="149">
        <f t="shared" si="4"/>
        <v>45227</v>
      </c>
      <c r="J21" s="127" t="s">
        <v>93</v>
      </c>
      <c r="K21" s="97" t="str">
        <f>CONCATENATE(C21," - ",D21)</f>
        <v>3 - 10</v>
      </c>
      <c r="L21" s="98">
        <f>1+L17</f>
        <v>3</v>
      </c>
      <c r="M21" s="98">
        <f>1+M20</f>
        <v>13</v>
      </c>
      <c r="N21" s="94" t="str">
        <f>CONCATENATE("тур ",L21,", встреча ",M21)</f>
        <v>тур 3, встреча 13</v>
      </c>
      <c r="O21" s="94" t="str">
        <f>CONCATENATE("тур ",L21,", встреча ",M21,", ",K21)</f>
        <v>тур 3, встреча 13, 3 - 10</v>
      </c>
      <c r="P21" s="94" t="str">
        <f>P20</f>
        <v>ЧЕМПИОНАТ РЕСПУБЛИКИ КРЫМ сезона 2023 г. 
по настольному теннису</v>
      </c>
      <c r="Q21" s="94" t="str">
        <f t="shared" si="3"/>
        <v>среди команд ВЫСШЕЙ ЛИГИ (3 тур)</v>
      </c>
      <c r="R21" s="94" t="str">
        <f t="shared" si="2"/>
        <v>г. Симферополь 
28-29 октября 2023 г.</v>
      </c>
    </row>
    <row r="22" spans="1:18" ht="22.5" customHeight="1" x14ac:dyDescent="0.2">
      <c r="A22" s="158">
        <f t="shared" si="0"/>
        <v>508</v>
      </c>
      <c r="B22" s="94">
        <f>E22</f>
        <v>14</v>
      </c>
      <c r="C22" s="201">
        <v>5</v>
      </c>
      <c r="D22" s="201">
        <v>8</v>
      </c>
      <c r="E22" s="201">
        <f>1+E21</f>
        <v>14</v>
      </c>
      <c r="F22" s="202"/>
      <c r="G22" s="203" t="str">
        <f>IF(C22="","",VLOOKUP(C22,Список!B:P,12,FALSE))</f>
        <v>«Рассвет» г.Симферополь</v>
      </c>
      <c r="H22" s="203" t="str">
        <f>IF(D22="","",VLOOKUP(D22,Список!B:P,12,FALSE))</f>
        <v>«СШ №3(1)» г.Симферополь</v>
      </c>
      <c r="I22" s="149">
        <f t="shared" si="4"/>
        <v>45227</v>
      </c>
      <c r="J22" s="127" t="s">
        <v>93</v>
      </c>
      <c r="K22" s="97" t="str">
        <f>CONCATENATE(C22," - ",D22)</f>
        <v>5 - 8</v>
      </c>
      <c r="L22" s="98">
        <f>1+L16</f>
        <v>3</v>
      </c>
      <c r="M22" s="98">
        <f>1+M21</f>
        <v>14</v>
      </c>
      <c r="N22" s="94" t="str">
        <f>CONCATENATE("тур ",L22,", встреча ",M22)</f>
        <v>тур 3, встреча 14</v>
      </c>
      <c r="O22" s="94" t="str">
        <f>CONCATENATE("тур ",L22,", встреча ",M22,", ",K22)</f>
        <v>тур 3, встреча 14, 5 - 8</v>
      </c>
      <c r="P22" s="94" t="str">
        <f>P20</f>
        <v>ЧЕМПИОНАТ РЕСПУБЛИКИ КРЫМ сезона 2023 г. 
по настольному теннису</v>
      </c>
      <c r="Q22" s="94" t="str">
        <f t="shared" si="3"/>
        <v>среди команд ВЫСШЕЙ ЛИГИ (3 тур)</v>
      </c>
      <c r="R22" s="94" t="str">
        <f>R20</f>
        <v>г. Симферополь 
28-29 октября 2023 г.</v>
      </c>
    </row>
    <row r="23" spans="1:18" ht="22.5" customHeight="1" x14ac:dyDescent="0.2">
      <c r="A23" s="158">
        <f t="shared" si="0"/>
        <v>409</v>
      </c>
      <c r="B23" s="94">
        <f>E23</f>
        <v>15</v>
      </c>
      <c r="C23" s="201">
        <v>4</v>
      </c>
      <c r="D23" s="201">
        <v>9</v>
      </c>
      <c r="E23" s="201">
        <f>1+E22</f>
        <v>15</v>
      </c>
      <c r="F23" s="202"/>
      <c r="G23" s="203" t="str">
        <f>IF(C23="","",VLOOKUP(C23,Список!B:P,12,FALSE))</f>
        <v>«Дрим Тим» г.Симферополь</v>
      </c>
      <c r="H23" s="203" t="str">
        <f>IF(D23="","",VLOOKUP(D23,Список!B:P,12,FALSE))</f>
        <v>"Спортшкола - Юноши" г.Ялта</v>
      </c>
      <c r="I23" s="149">
        <f t="shared" si="4"/>
        <v>45227</v>
      </c>
      <c r="J23" s="127" t="s">
        <v>93</v>
      </c>
      <c r="K23" s="97" t="str">
        <f>CONCATENATE(C23," - ",D23)</f>
        <v>4 - 9</v>
      </c>
      <c r="L23" s="98">
        <f>1+L17</f>
        <v>3</v>
      </c>
      <c r="M23" s="98">
        <f>1+M22</f>
        <v>15</v>
      </c>
      <c r="N23" s="94" t="str">
        <f>CONCATENATE("тур ",L23,", встреча ",M23)</f>
        <v>тур 3, встреча 15</v>
      </c>
      <c r="O23" s="94" t="str">
        <f>CONCATENATE("тур ",L23,", встреча ",M23,", ",K23)</f>
        <v>тур 3, встреча 15, 4 - 9</v>
      </c>
      <c r="P23" s="94" t="str">
        <f>P21</f>
        <v>ЧЕМПИОНАТ РЕСПУБЛИКИ КРЫМ сезона 2023 г. 
по настольному теннису</v>
      </c>
      <c r="Q23" s="94" t="str">
        <f t="shared" si="3"/>
        <v>среди команд ВЫСШЕЙ ЛИГИ (3 тур)</v>
      </c>
      <c r="R23" s="94" t="str">
        <f>R21</f>
        <v>г. Симферополь 
28-29 октября 2023 г.</v>
      </c>
    </row>
    <row r="24" spans="1:18" ht="22.5" customHeight="1" x14ac:dyDescent="0.2">
      <c r="A24" s="158">
        <f t="shared" si="0"/>
        <v>0</v>
      </c>
      <c r="B24" s="94">
        <f t="shared" si="1"/>
        <v>0</v>
      </c>
      <c r="C24" s="357" t="s">
        <v>75</v>
      </c>
      <c r="D24" s="357"/>
      <c r="E24" s="357"/>
      <c r="F24" s="357"/>
      <c r="G24" s="357"/>
      <c r="H24" s="357"/>
      <c r="I24" s="149"/>
      <c r="P24" s="94" t="str">
        <f>P23</f>
        <v>ЧЕМПИОНАТ РЕСПУБЛИКИ КРЫМ сезона 2023 г. 
по настольному теннису</v>
      </c>
      <c r="Q24" s="94" t="str">
        <f t="shared" si="3"/>
        <v>среди команд ВЫСШЕЙ ЛИГИ (3 тур)</v>
      </c>
      <c r="R24" s="94" t="str">
        <f t="shared" si="2"/>
        <v>г. Симферополь 
28-29 октября 2023 г.</v>
      </c>
    </row>
    <row r="25" spans="1:18" ht="22.5" customHeight="1" x14ac:dyDescent="0.2">
      <c r="A25" s="158">
        <f t="shared" si="0"/>
        <v>106</v>
      </c>
      <c r="B25" s="94">
        <f t="shared" si="1"/>
        <v>16</v>
      </c>
      <c r="C25" s="201">
        <v>6</v>
      </c>
      <c r="D25" s="201">
        <v>1</v>
      </c>
      <c r="E25" s="201">
        <f>E23+1</f>
        <v>16</v>
      </c>
      <c r="F25" s="202"/>
      <c r="G25" s="203" t="str">
        <f>IF(C25="","",VLOOKUP(C25,Список!B:P,12,FALSE))</f>
        <v>«АРСЕНАЛ-С» г.Севастополь</v>
      </c>
      <c r="H25" s="203" t="str">
        <f>IF(D25="","",VLOOKUP(D25,Список!B:P,12,FALSE))</f>
        <v>"РУСИЧИ" г.Симферополь</v>
      </c>
      <c r="I25" s="149">
        <f t="shared" si="4"/>
        <v>45227</v>
      </c>
      <c r="J25" s="127" t="s">
        <v>100</v>
      </c>
      <c r="K25" s="97" t="str">
        <f>CONCATENATE(C25," - ",D25)</f>
        <v>6 - 1</v>
      </c>
      <c r="L25" s="98">
        <f>1+L19</f>
        <v>4</v>
      </c>
      <c r="M25" s="98">
        <f>M23+1</f>
        <v>16</v>
      </c>
      <c r="N25" s="94" t="str">
        <f>CONCATENATE("тур ",L25,", встреча ",M25)</f>
        <v>тур 4, встреча 16</v>
      </c>
      <c r="O25" s="94" t="str">
        <f>CONCATENATE("тур ",L25,", встреча ",M25,", ",K25)</f>
        <v>тур 4, встреча 16, 6 - 1</v>
      </c>
      <c r="P25" s="94" t="str">
        <f>P24</f>
        <v>ЧЕМПИОНАТ РЕСПУБЛИКИ КРЫМ сезона 2023 г. 
по настольному теннису</v>
      </c>
      <c r="Q25" s="94" t="str">
        <f t="shared" si="3"/>
        <v>среди команд ВЫСШЕЙ ЛИГИ (3 тур)</v>
      </c>
      <c r="R25" s="94" t="str">
        <f t="shared" si="2"/>
        <v>г. Симферополь 
28-29 октября 2023 г.</v>
      </c>
    </row>
    <row r="26" spans="1:18" ht="22.5" customHeight="1" x14ac:dyDescent="0.2">
      <c r="A26" s="158">
        <f t="shared" si="0"/>
        <v>210</v>
      </c>
      <c r="B26" s="94">
        <f t="shared" si="1"/>
        <v>17</v>
      </c>
      <c r="C26" s="201">
        <v>10</v>
      </c>
      <c r="D26" s="201">
        <v>2</v>
      </c>
      <c r="E26" s="201">
        <f>1+E25</f>
        <v>17</v>
      </c>
      <c r="F26" s="202"/>
      <c r="G26" s="203" t="str">
        <f>IF(C26="","",VLOOKUP(C26,Список!B:P,12,FALSE))</f>
        <v>«СШ №3(2)» г.Симферополь</v>
      </c>
      <c r="H26" s="203" t="str">
        <f>IF(D26="","",VLOOKUP(D26,Список!B:P,12,FALSE))</f>
        <v>«Аэропорт - СШ №3» г.Симферополь</v>
      </c>
      <c r="I26" s="149">
        <f t="shared" si="4"/>
        <v>45227</v>
      </c>
      <c r="J26" s="127" t="s">
        <v>100</v>
      </c>
      <c r="K26" s="97" t="str">
        <f>CONCATENATE(C26," - ",D26)</f>
        <v>10 - 2</v>
      </c>
      <c r="L26" s="98">
        <f>1+L20</f>
        <v>4</v>
      </c>
      <c r="M26" s="98">
        <f>1+M25</f>
        <v>17</v>
      </c>
      <c r="N26" s="94" t="str">
        <f>CONCATENATE("тур ",L26,", встреча ",M26)</f>
        <v>тур 4, встреча 17</v>
      </c>
      <c r="O26" s="94" t="str">
        <f>CONCATENATE("тур ",L26,", встреча ",M26,", ",K26)</f>
        <v>тур 4, встреча 17, 10 - 2</v>
      </c>
      <c r="P26" s="94" t="str">
        <f>P25</f>
        <v>ЧЕМПИОНАТ РЕСПУБЛИКИ КРЫМ сезона 2023 г. 
по настольному теннису</v>
      </c>
      <c r="Q26" s="94" t="str">
        <f t="shared" si="3"/>
        <v>среди команд ВЫСШЕЙ ЛИГИ (3 тур)</v>
      </c>
      <c r="R26" s="94" t="str">
        <f t="shared" si="2"/>
        <v>г. Симферополь 
28-29 октября 2023 г.</v>
      </c>
    </row>
    <row r="27" spans="1:18" ht="22.5" customHeight="1" x14ac:dyDescent="0.2">
      <c r="A27" s="158">
        <f t="shared" si="0"/>
        <v>507</v>
      </c>
      <c r="B27" s="94">
        <f t="shared" si="1"/>
        <v>18</v>
      </c>
      <c r="C27" s="201">
        <v>7</v>
      </c>
      <c r="D27" s="201">
        <v>5</v>
      </c>
      <c r="E27" s="201">
        <f>1+E26</f>
        <v>18</v>
      </c>
      <c r="F27" s="202"/>
      <c r="G27" s="203" t="str">
        <f>IF(C27="","",VLOOKUP(C27,Список!B:P,12,FALSE))</f>
        <v>«Спортшкола» г. Ялта</v>
      </c>
      <c r="H27" s="203" t="str">
        <f>IF(D27="","",VLOOKUP(D27,Список!B:P,12,FALSE))</f>
        <v>«Рассвет» г.Симферополь</v>
      </c>
      <c r="I27" s="149">
        <f t="shared" si="4"/>
        <v>45227</v>
      </c>
      <c r="J27" s="127" t="s">
        <v>100</v>
      </c>
      <c r="K27" s="97" t="str">
        <f>CONCATENATE(C27," - ",D27)</f>
        <v>7 - 5</v>
      </c>
      <c r="L27" s="98">
        <f>1+L21</f>
        <v>4</v>
      </c>
      <c r="M27" s="98">
        <f>1+M26</f>
        <v>18</v>
      </c>
      <c r="N27" s="94" t="str">
        <f>CONCATENATE("тур ",L27,", встреча ",M27)</f>
        <v>тур 4, встреча 18</v>
      </c>
      <c r="O27" s="94" t="str">
        <f>CONCATENATE("тур ",L27,", встреча ",M27,", ",K27)</f>
        <v>тур 4, встреча 18, 7 - 5</v>
      </c>
      <c r="P27" s="94" t="str">
        <f>P26</f>
        <v>ЧЕМПИОНАТ РЕСПУБЛИКИ КРЫМ сезона 2023 г. 
по настольному теннису</v>
      </c>
      <c r="Q27" s="94" t="str">
        <f t="shared" si="3"/>
        <v>среди команд ВЫСШЕЙ ЛИГИ (3 тур)</v>
      </c>
      <c r="R27" s="94" t="str">
        <f t="shared" si="2"/>
        <v>г. Симферополь 
28-29 октября 2023 г.</v>
      </c>
    </row>
    <row r="28" spans="1:18" ht="22.5" customHeight="1" x14ac:dyDescent="0.2">
      <c r="A28" s="158">
        <f t="shared" si="0"/>
        <v>309</v>
      </c>
      <c r="B28" s="94">
        <f>E28</f>
        <v>19</v>
      </c>
      <c r="C28" s="201">
        <v>9</v>
      </c>
      <c r="D28" s="201">
        <v>3</v>
      </c>
      <c r="E28" s="201">
        <f>1+E27</f>
        <v>19</v>
      </c>
      <c r="F28" s="202"/>
      <c r="G28" s="203" t="str">
        <f>IF(C28="","",VLOOKUP(C28,Список!B:P,12,FALSE))</f>
        <v>"Спортшкола - Юноши" г.Ялта</v>
      </c>
      <c r="H28" s="203" t="str">
        <f>IF(D28="","",VLOOKUP(D28,Список!B:P,12,FALSE))</f>
        <v>«Интер»  г.Евпатория</v>
      </c>
      <c r="I28" s="149">
        <f t="shared" si="4"/>
        <v>45227</v>
      </c>
      <c r="J28" s="127" t="s">
        <v>100</v>
      </c>
      <c r="K28" s="97" t="str">
        <f>CONCATENATE(C28," - ",D28)</f>
        <v>9 - 3</v>
      </c>
      <c r="L28" s="98">
        <f>1+L22</f>
        <v>4</v>
      </c>
      <c r="M28" s="98">
        <f>1+M27</f>
        <v>19</v>
      </c>
      <c r="N28" s="94" t="str">
        <f>CONCATENATE("тур ",L28,", встреча ",M28)</f>
        <v>тур 4, встреча 19</v>
      </c>
      <c r="O28" s="94" t="str">
        <f>CONCATENATE("тур ",L28,", встреча ",M28,", ",K28)</f>
        <v>тур 4, встреча 19, 9 - 3</v>
      </c>
      <c r="P28" s="94" t="str">
        <f>P26</f>
        <v>ЧЕМПИОНАТ РЕСПУБЛИКИ КРЫМ сезона 2023 г. 
по настольному теннису</v>
      </c>
      <c r="Q28" s="94" t="str">
        <f t="shared" si="3"/>
        <v>среди команд ВЫСШЕЙ ЛИГИ (3 тур)</v>
      </c>
      <c r="R28" s="94" t="str">
        <f>R26</f>
        <v>г. Симферополь 
28-29 октября 2023 г.</v>
      </c>
    </row>
    <row r="29" spans="1:18" ht="22.5" customHeight="1" x14ac:dyDescent="0.2">
      <c r="A29" s="158">
        <f t="shared" si="0"/>
        <v>408</v>
      </c>
      <c r="B29" s="94">
        <f>E29</f>
        <v>20</v>
      </c>
      <c r="C29" s="201">
        <v>8</v>
      </c>
      <c r="D29" s="201">
        <v>4</v>
      </c>
      <c r="E29" s="201">
        <f>1+E28</f>
        <v>20</v>
      </c>
      <c r="F29" s="202"/>
      <c r="G29" s="203" t="str">
        <f>IF(C29="","",VLOOKUP(C29,Список!B:P,12,FALSE))</f>
        <v>«СШ №3(1)» г.Симферополь</v>
      </c>
      <c r="H29" s="203" t="str">
        <f>IF(D29="","",VLOOKUP(D29,Список!B:P,12,FALSE))</f>
        <v>«Дрим Тим» г.Симферополь</v>
      </c>
      <c r="I29" s="149">
        <f t="shared" si="4"/>
        <v>45227</v>
      </c>
      <c r="J29" s="127" t="s">
        <v>100</v>
      </c>
      <c r="K29" s="97" t="str">
        <f>CONCATENATE(C29," - ",D29)</f>
        <v>8 - 4</v>
      </c>
      <c r="L29" s="98">
        <f>1+L23</f>
        <v>4</v>
      </c>
      <c r="M29" s="98">
        <f>1+M28</f>
        <v>20</v>
      </c>
      <c r="N29" s="94" t="str">
        <f>CONCATENATE("тур ",L29,", встреча ",M29)</f>
        <v>тур 4, встреча 20</v>
      </c>
      <c r="O29" s="94" t="str">
        <f>CONCATENATE("тур ",L29,", встреча ",M29,", ",K29)</f>
        <v>тур 4, встреча 20, 8 - 4</v>
      </c>
      <c r="P29" s="94" t="str">
        <f>P27</f>
        <v>ЧЕМПИОНАТ РЕСПУБЛИКИ КРЫМ сезона 2023 г. 
по настольному теннису</v>
      </c>
      <c r="Q29" s="94" t="str">
        <f t="shared" si="3"/>
        <v>среди команд ВЫСШЕЙ ЛИГИ (3 тур)</v>
      </c>
      <c r="R29" s="94" t="str">
        <f>R27</f>
        <v>г. Симферополь 
28-29 октября 2023 г.</v>
      </c>
    </row>
    <row r="30" spans="1:18" ht="22.5" customHeight="1" x14ac:dyDescent="0.2">
      <c r="A30" s="158">
        <f t="shared" si="0"/>
        <v>0</v>
      </c>
      <c r="B30" s="94">
        <f t="shared" si="1"/>
        <v>0</v>
      </c>
      <c r="C30" s="356" t="s">
        <v>76</v>
      </c>
      <c r="D30" s="356"/>
      <c r="E30" s="356"/>
      <c r="F30" s="356"/>
      <c r="G30" s="356"/>
      <c r="H30" s="356"/>
      <c r="I30" s="149"/>
      <c r="P30" s="94" t="str">
        <f>P36</f>
        <v>ЧЕМПИОНАТ РЕСПУБЛИКИ КРЫМ сезона 2023 г. 
по настольному теннису</v>
      </c>
      <c r="Q30" s="94" t="str">
        <f t="shared" si="3"/>
        <v>среди команд ВЫСШЕЙ ЛИГИ (3 тур)</v>
      </c>
      <c r="R30" s="94" t="str">
        <f>R36</f>
        <v>г. Симферополь 
28-29 октября 2023 г.</v>
      </c>
    </row>
    <row r="31" spans="1:18" ht="22.5" customHeight="1" x14ac:dyDescent="0.2">
      <c r="A31" s="158">
        <f t="shared" si="0"/>
        <v>204</v>
      </c>
      <c r="B31" s="94">
        <f t="shared" si="1"/>
        <v>21</v>
      </c>
      <c r="C31" s="201">
        <v>2</v>
      </c>
      <c r="D31" s="201">
        <v>4</v>
      </c>
      <c r="E31" s="201">
        <f>E29+1</f>
        <v>21</v>
      </c>
      <c r="F31" s="202"/>
      <c r="G31" s="203" t="str">
        <f>IF(C31="","",VLOOKUP(C31,Список!B:P,12,FALSE))</f>
        <v>«Аэропорт - СШ №3» г.Симферополь</v>
      </c>
      <c r="H31" s="203" t="str">
        <f>IF(D31="","",VLOOKUP(D31,Список!B:P,12,FALSE))</f>
        <v>«Дрим Тим» г.Симферополь</v>
      </c>
      <c r="I31" s="149">
        <f>$C$5</f>
        <v>45227</v>
      </c>
      <c r="J31" s="126" t="s">
        <v>115</v>
      </c>
      <c r="K31" s="97" t="str">
        <f>CONCATENATE(C31," - ",D31)</f>
        <v>2 - 4</v>
      </c>
      <c r="L31" s="98">
        <f>1+L25</f>
        <v>5</v>
      </c>
      <c r="M31" s="98">
        <f>M29+1</f>
        <v>21</v>
      </c>
      <c r="N31" s="94" t="str">
        <f>CONCATENATE("тур ",L31,", встреча ",M31)</f>
        <v>тур 5, встреча 21</v>
      </c>
      <c r="O31" s="94" t="str">
        <f>CONCATENATE("тур ",L31,", встреча ",M31,", ",K31)</f>
        <v>тур 5, встреча 21, 2 - 4</v>
      </c>
      <c r="P31" s="94" t="str">
        <f>P30</f>
        <v>ЧЕМПИОНАТ РЕСПУБЛИКИ КРЫМ сезона 2023 г. 
по настольному теннису</v>
      </c>
      <c r="Q31" s="94" t="str">
        <f t="shared" si="3"/>
        <v>среди команд ВЫСШЕЙ ЛИГИ (3 тур)</v>
      </c>
      <c r="R31" s="94" t="str">
        <f t="shared" si="2"/>
        <v>г. Симферополь 
28-29 октября 2023 г.</v>
      </c>
    </row>
    <row r="32" spans="1:18" ht="22.5" customHeight="1" x14ac:dyDescent="0.2">
      <c r="A32" s="158">
        <f t="shared" si="0"/>
        <v>105</v>
      </c>
      <c r="B32" s="94">
        <f t="shared" si="1"/>
        <v>22</v>
      </c>
      <c r="C32" s="201">
        <v>1</v>
      </c>
      <c r="D32" s="201">
        <v>5</v>
      </c>
      <c r="E32" s="201">
        <f>1+E31</f>
        <v>22</v>
      </c>
      <c r="F32" s="202"/>
      <c r="G32" s="203" t="str">
        <f>IF(C32="","",VLOOKUP(C32,Список!B:P,12,FALSE))</f>
        <v>"РУСИЧИ" г.Симферополь</v>
      </c>
      <c r="H32" s="203" t="str">
        <f>IF(D32="","",VLOOKUP(D32,Список!B:P,12,FALSE))</f>
        <v>«Рассвет» г.Симферополь</v>
      </c>
      <c r="I32" s="149">
        <f>$C$5</f>
        <v>45227</v>
      </c>
      <c r="J32" s="126" t="s">
        <v>115</v>
      </c>
      <c r="K32" s="97" t="str">
        <f>CONCATENATE(C32," - ",D32)</f>
        <v>1 - 5</v>
      </c>
      <c r="L32" s="98">
        <f>1+L26</f>
        <v>5</v>
      </c>
      <c r="M32" s="98">
        <f>1+M31</f>
        <v>22</v>
      </c>
      <c r="N32" s="94" t="str">
        <f>CONCATENATE("тур ",L32,", встреча ",M32)</f>
        <v>тур 5, встреча 22</v>
      </c>
      <c r="O32" s="94" t="str">
        <f>CONCATENATE("тур ",L32,", встреча ",M32,", ",K32)</f>
        <v>тур 5, встреча 22, 1 - 5</v>
      </c>
      <c r="P32" s="94" t="str">
        <f>P31</f>
        <v>ЧЕМПИОНАТ РЕСПУБЛИКИ КРЫМ сезона 2023 г. 
по настольному теннису</v>
      </c>
      <c r="Q32" s="94" t="str">
        <f t="shared" si="3"/>
        <v>среди команд ВЫСШЕЙ ЛИГИ (3 тур)</v>
      </c>
      <c r="R32" s="94" t="str">
        <f t="shared" si="2"/>
        <v>г. Симферополь 
28-29 октября 2023 г.</v>
      </c>
    </row>
    <row r="33" spans="1:18" ht="22.5" customHeight="1" x14ac:dyDescent="0.2">
      <c r="A33" s="158">
        <f t="shared" si="0"/>
        <v>308</v>
      </c>
      <c r="B33" s="94">
        <f>E33</f>
        <v>23</v>
      </c>
      <c r="C33" s="201">
        <v>3</v>
      </c>
      <c r="D33" s="201">
        <v>8</v>
      </c>
      <c r="E33" s="201">
        <f>1+E32</f>
        <v>23</v>
      </c>
      <c r="F33" s="202"/>
      <c r="G33" s="203" t="str">
        <f>IF(C33="","",VLOOKUP(C33,Список!B:P,12,FALSE))</f>
        <v>«Интер»  г.Евпатория</v>
      </c>
      <c r="H33" s="203" t="str">
        <f>IF(D33="","",VLOOKUP(D33,Список!B:P,12,FALSE))</f>
        <v>«СШ №3(1)» г.Симферополь</v>
      </c>
      <c r="I33" s="149">
        <f>$C$5</f>
        <v>45227</v>
      </c>
      <c r="J33" s="126" t="s">
        <v>115</v>
      </c>
      <c r="K33" s="97" t="str">
        <f>CONCATENATE(C33," - ",D33)</f>
        <v>3 - 8</v>
      </c>
      <c r="L33" s="98">
        <f>1+L27</f>
        <v>5</v>
      </c>
      <c r="M33" s="98">
        <f>1+M32</f>
        <v>23</v>
      </c>
      <c r="N33" s="94" t="str">
        <f>CONCATENATE("тур ",L33,", встреча ",M33)</f>
        <v>тур 5, встреча 23</v>
      </c>
      <c r="O33" s="94" t="str">
        <f>CONCATENATE("тур ",L33,", встреча ",M33,", ",K33)</f>
        <v>тур 5, встреча 23, 3 - 8</v>
      </c>
      <c r="P33" s="94" t="str">
        <f>P32</f>
        <v>ЧЕМПИОНАТ РЕСПУБЛИКИ КРЫМ сезона 2023 г. 
по настольному теннису</v>
      </c>
      <c r="Q33" s="94" t="str">
        <f t="shared" si="3"/>
        <v>среди команд ВЫСШЕЙ ЛИГИ (3 тур)</v>
      </c>
      <c r="R33" s="94" t="str">
        <f t="shared" si="2"/>
        <v>г. Симферополь 
28-29 октября 2023 г.</v>
      </c>
    </row>
    <row r="34" spans="1:18" ht="22.5" customHeight="1" x14ac:dyDescent="0.2">
      <c r="A34" s="158">
        <f t="shared" si="0"/>
        <v>610</v>
      </c>
      <c r="B34" s="94">
        <f>E34</f>
        <v>24</v>
      </c>
      <c r="C34" s="201">
        <v>6</v>
      </c>
      <c r="D34" s="201">
        <v>10</v>
      </c>
      <c r="E34" s="201">
        <f>1+E33</f>
        <v>24</v>
      </c>
      <c r="F34" s="202"/>
      <c r="G34" s="203" t="str">
        <f>IF(C34="","",VLOOKUP(C34,Список!B:P,12,FALSE))</f>
        <v>«АРСЕНАЛ-С» г.Севастополь</v>
      </c>
      <c r="H34" s="203" t="str">
        <f>IF(D34="","",VLOOKUP(D34,Список!B:P,12,FALSE))</f>
        <v>«СШ №3(2)» г.Симферополь</v>
      </c>
      <c r="I34" s="149">
        <f>$C$5</f>
        <v>45227</v>
      </c>
      <c r="J34" s="126" t="s">
        <v>115</v>
      </c>
      <c r="K34" s="97" t="str">
        <f>CONCATENATE(C34," - ",D34)</f>
        <v>6 - 10</v>
      </c>
      <c r="L34" s="98">
        <f>1+L28</f>
        <v>5</v>
      </c>
      <c r="M34" s="98">
        <f>1+M33</f>
        <v>24</v>
      </c>
      <c r="N34" s="94" t="str">
        <f>CONCATENATE("тур ",L34,", встреча ",M34)</f>
        <v>тур 5, встреча 24</v>
      </c>
      <c r="O34" s="94" t="str">
        <f>CONCATENATE("тур ",L34,", встреча ",M34,", ",K34)</f>
        <v>тур 5, встреча 24, 6 - 10</v>
      </c>
      <c r="P34" s="94" t="str">
        <f>P32</f>
        <v>ЧЕМПИОНАТ РЕСПУБЛИКИ КРЫМ сезона 2023 г. 
по настольному теннису</v>
      </c>
      <c r="Q34" s="94" t="str">
        <f t="shared" si="3"/>
        <v>среди команд ВЫСШЕЙ ЛИГИ (3 тур)</v>
      </c>
      <c r="R34" s="94" t="str">
        <f>R32</f>
        <v>г. Симферополь 
28-29 октября 2023 г.</v>
      </c>
    </row>
    <row r="35" spans="1:18" ht="22.5" customHeight="1" x14ac:dyDescent="0.2">
      <c r="A35" s="158">
        <f t="shared" si="0"/>
        <v>709</v>
      </c>
      <c r="B35" s="94">
        <f t="shared" si="1"/>
        <v>25</v>
      </c>
      <c r="C35" s="201">
        <v>7</v>
      </c>
      <c r="D35" s="201">
        <v>9</v>
      </c>
      <c r="E35" s="201">
        <f>1+E34</f>
        <v>25</v>
      </c>
      <c r="F35" s="202"/>
      <c r="G35" s="203" t="str">
        <f>IF(C35="","",VLOOKUP(C35,Список!B:P,12,FALSE))</f>
        <v>«Спортшкола» г. Ялта</v>
      </c>
      <c r="H35" s="203" t="str">
        <f>IF(D35="","",VLOOKUP(D35,Список!B:P,12,FALSE))</f>
        <v>"Спортшкола - Юноши" г.Ялта</v>
      </c>
      <c r="I35" s="149">
        <f>$C$5</f>
        <v>45227</v>
      </c>
      <c r="J35" s="126" t="s">
        <v>115</v>
      </c>
      <c r="K35" s="97" t="str">
        <f>CONCATENATE(C35," - ",D35)</f>
        <v>7 - 9</v>
      </c>
      <c r="L35" s="98">
        <f>1+L29</f>
        <v>5</v>
      </c>
      <c r="M35" s="98">
        <f>1+M34</f>
        <v>25</v>
      </c>
      <c r="N35" s="94" t="str">
        <f>CONCATENATE("тур ",L35,", встреча ",M35)</f>
        <v>тур 5, встреча 25</v>
      </c>
      <c r="O35" s="94" t="str">
        <f>CONCATENATE("тур ",L35,", встреча ",M35,", ",K35)</f>
        <v>тур 5, встреча 25, 7 - 9</v>
      </c>
      <c r="P35" s="94" t="str">
        <f>P33</f>
        <v>ЧЕМПИОНАТ РЕСПУБЛИКИ КРЫМ сезона 2023 г. 
по настольному теннису</v>
      </c>
      <c r="Q35" s="94" t="str">
        <f t="shared" si="3"/>
        <v>среди команд ВЫСШЕЙ ЛИГИ (3 тур)</v>
      </c>
      <c r="R35" s="94" t="str">
        <f>R33</f>
        <v>г. Симферополь 
28-29 октября 2023 г.</v>
      </c>
    </row>
    <row r="36" spans="1:18" ht="22.5" customHeight="1" x14ac:dyDescent="0.2">
      <c r="A36" s="158">
        <f t="shared" si="0"/>
        <v>4568028</v>
      </c>
      <c r="B36" s="94">
        <f t="shared" ref="B36:B48" si="5">E36</f>
        <v>0</v>
      </c>
      <c r="C36" s="354">
        <v>45228</v>
      </c>
      <c r="D36" s="354"/>
      <c r="E36" s="354"/>
      <c r="F36" s="354"/>
      <c r="G36" s="354"/>
      <c r="H36" s="354"/>
      <c r="I36" s="149"/>
      <c r="J36" s="94"/>
      <c r="K36" s="94"/>
      <c r="L36" s="96"/>
      <c r="M36" s="96"/>
      <c r="P36" s="94" t="str">
        <f>P29</f>
        <v>ЧЕМПИОНАТ РЕСПУБЛИКИ КРЫМ сезона 2023 г. 
по настольному теннису</v>
      </c>
      <c r="Q36" s="94" t="str">
        <f t="shared" si="3"/>
        <v>среди команд ВЫСШЕЙ ЛИГИ (3 тур)</v>
      </c>
      <c r="R36" s="94" t="str">
        <f>R29</f>
        <v>г. Симферополь 
28-29 октября 2023 г.</v>
      </c>
    </row>
    <row r="37" spans="1:18" ht="22.5" customHeight="1" x14ac:dyDescent="0.2">
      <c r="A37" s="158">
        <f t="shared" si="0"/>
        <v>0</v>
      </c>
      <c r="B37" s="94">
        <f t="shared" si="5"/>
        <v>0</v>
      </c>
      <c r="C37" s="355" t="s">
        <v>77</v>
      </c>
      <c r="D37" s="355"/>
      <c r="E37" s="355"/>
      <c r="F37" s="355"/>
      <c r="G37" s="355"/>
      <c r="H37" s="355"/>
      <c r="I37" s="149"/>
      <c r="P37" s="94" t="str">
        <f>P23</f>
        <v>ЧЕМПИОНАТ РЕСПУБЛИКИ КРЫМ сезона 2023 г. 
по настольному теннису</v>
      </c>
      <c r="Q37" s="94" t="str">
        <f t="shared" si="3"/>
        <v>среди команд ВЫСШЕЙ ЛИГИ (3 тур)</v>
      </c>
      <c r="R37" s="94" t="str">
        <f>R23</f>
        <v>г. Симферополь 
28-29 октября 2023 г.</v>
      </c>
    </row>
    <row r="38" spans="1:18" ht="22.5" customHeight="1" x14ac:dyDescent="0.2">
      <c r="A38" s="158">
        <f t="shared" si="0"/>
        <v>104</v>
      </c>
      <c r="B38" s="94">
        <f t="shared" si="5"/>
        <v>26</v>
      </c>
      <c r="C38" s="201">
        <v>4</v>
      </c>
      <c r="D38" s="201">
        <v>1</v>
      </c>
      <c r="E38" s="201">
        <f>E35+1</f>
        <v>26</v>
      </c>
      <c r="F38" s="202"/>
      <c r="G38" s="203" t="str">
        <f>IF(C38="","",VLOOKUP(C38,Список!B:P,12,FALSE))</f>
        <v>«Дрим Тим» г.Симферополь</v>
      </c>
      <c r="H38" s="203" t="str">
        <f>IF(D38="","",VLOOKUP(D38,Список!B:P,12,FALSE))</f>
        <v>"РУСИЧИ" г.Симферополь</v>
      </c>
      <c r="I38" s="149">
        <f>$C$36</f>
        <v>45228</v>
      </c>
      <c r="J38" s="126" t="s">
        <v>91</v>
      </c>
      <c r="K38" s="97" t="str">
        <f>CONCATENATE(C38," - ",D38)</f>
        <v>4 - 1</v>
      </c>
      <c r="L38" s="98">
        <f>1+L31</f>
        <v>6</v>
      </c>
      <c r="M38" s="98">
        <f>M35+1</f>
        <v>26</v>
      </c>
      <c r="N38" s="94" t="str">
        <f>CONCATENATE("тур ",L38,", встреча ",M38)</f>
        <v>тур 6, встреча 26</v>
      </c>
      <c r="O38" s="94" t="str">
        <f>CONCATENATE("тур ",L38,", встреча ",M38,", ",K38)</f>
        <v>тур 6, встреча 26, 4 - 1</v>
      </c>
      <c r="P38" s="94" t="str">
        <f>P37</f>
        <v>ЧЕМПИОНАТ РЕСПУБЛИКИ КРЫМ сезона 2023 г. 
по настольному теннису</v>
      </c>
      <c r="Q38" s="94" t="str">
        <f t="shared" si="3"/>
        <v>среди команд ВЫСШЕЙ ЛИГИ (3 тур)</v>
      </c>
      <c r="R38" s="94" t="str">
        <f t="shared" si="2"/>
        <v>г. Симферополь 
28-29 октября 2023 г.</v>
      </c>
    </row>
    <row r="39" spans="1:18" ht="22.5" customHeight="1" x14ac:dyDescent="0.2">
      <c r="A39" s="158">
        <f t="shared" ref="A39:A60" si="6">MIN(C39:D39)*100+MAX(C39:D39)</f>
        <v>305</v>
      </c>
      <c r="B39" s="94">
        <f t="shared" si="5"/>
        <v>27</v>
      </c>
      <c r="C39" s="201">
        <v>5</v>
      </c>
      <c r="D39" s="201">
        <v>3</v>
      </c>
      <c r="E39" s="201">
        <f>1+E38</f>
        <v>27</v>
      </c>
      <c r="F39" s="202"/>
      <c r="G39" s="203" t="str">
        <f>IF(C39="","",VLOOKUP(C39,Список!B:P,12,FALSE))</f>
        <v>«Рассвет» г.Симферополь</v>
      </c>
      <c r="H39" s="203" t="str">
        <f>IF(D39="","",VLOOKUP(D39,Список!B:P,12,FALSE))</f>
        <v>«Интер»  г.Евпатория</v>
      </c>
      <c r="I39" s="149">
        <f>$C$36</f>
        <v>45228</v>
      </c>
      <c r="J39" s="126" t="s">
        <v>91</v>
      </c>
      <c r="K39" s="97" t="str">
        <f>CONCATENATE(C39," - ",D39)</f>
        <v>5 - 3</v>
      </c>
      <c r="L39" s="98">
        <f>1+L32</f>
        <v>6</v>
      </c>
      <c r="M39" s="98">
        <f>1+M38</f>
        <v>27</v>
      </c>
      <c r="N39" s="94" t="str">
        <f>CONCATENATE("тур ",L39,", встреча ",M39)</f>
        <v>тур 6, встреча 27</v>
      </c>
      <c r="O39" s="94" t="str">
        <f>CONCATENATE("тур ",L39,", встреча ",M39,", ",K39)</f>
        <v>тур 6, встреча 27, 5 - 3</v>
      </c>
      <c r="P39" s="94" t="str">
        <f>P38</f>
        <v>ЧЕМПИОНАТ РЕСПУБЛИКИ КРЫМ сезона 2023 г. 
по настольному теннису</v>
      </c>
      <c r="Q39" s="94" t="str">
        <f t="shared" si="3"/>
        <v>среди команд ВЫСШЕЙ ЛИГИ (3 тур)</v>
      </c>
      <c r="R39" s="94" t="str">
        <f t="shared" si="2"/>
        <v>г. Симферополь 
28-29 октября 2023 г.</v>
      </c>
    </row>
    <row r="40" spans="1:18" ht="22.5" customHeight="1" x14ac:dyDescent="0.2">
      <c r="A40" s="158">
        <f t="shared" si="6"/>
        <v>209</v>
      </c>
      <c r="B40" s="94">
        <f t="shared" si="5"/>
        <v>28</v>
      </c>
      <c r="C40" s="201">
        <v>9</v>
      </c>
      <c r="D40" s="201">
        <v>2</v>
      </c>
      <c r="E40" s="201">
        <f>1+E39</f>
        <v>28</v>
      </c>
      <c r="F40" s="202"/>
      <c r="G40" s="203" t="str">
        <f>IF(C40="","",VLOOKUP(C40,Список!B:P,12,FALSE))</f>
        <v>"Спортшкола - Юноши" г.Ялта</v>
      </c>
      <c r="H40" s="203" t="str">
        <f>IF(D40="","",VLOOKUP(D40,Список!B:P,12,FALSE))</f>
        <v>«Аэропорт - СШ №3» г.Симферополь</v>
      </c>
      <c r="I40" s="149">
        <f>$C$36</f>
        <v>45228</v>
      </c>
      <c r="J40" s="126" t="s">
        <v>91</v>
      </c>
      <c r="K40" s="97" t="str">
        <f>CONCATENATE(C40," - ",D40)</f>
        <v>9 - 2</v>
      </c>
      <c r="L40" s="98">
        <f>1+L33</f>
        <v>6</v>
      </c>
      <c r="M40" s="98">
        <f>1+M39</f>
        <v>28</v>
      </c>
      <c r="N40" s="94" t="str">
        <f>CONCATENATE("тур ",L40,", встреча ",M40)</f>
        <v>тур 6, встреча 28</v>
      </c>
      <c r="O40" s="94" t="str">
        <f>CONCATENATE("тур ",L40,", встреча ",M40,", ",K40)</f>
        <v>тур 6, встреча 28, 9 - 2</v>
      </c>
      <c r="P40" s="94" t="str">
        <f>P39</f>
        <v>ЧЕМПИОНАТ РЕСПУБЛИКИ КРЫМ сезона 2023 г. 
по настольному теннису</v>
      </c>
      <c r="Q40" s="94" t="str">
        <f t="shared" si="3"/>
        <v>среди команд ВЫСШЕЙ ЛИГИ (3 тур)</v>
      </c>
      <c r="R40" s="94" t="str">
        <f t="shared" si="2"/>
        <v>г. Симферополь 
28-29 октября 2023 г.</v>
      </c>
    </row>
    <row r="41" spans="1:18" ht="22.5" customHeight="1" x14ac:dyDescent="0.2">
      <c r="A41" s="158">
        <f t="shared" si="6"/>
        <v>608</v>
      </c>
      <c r="B41" s="94">
        <f t="shared" si="5"/>
        <v>29</v>
      </c>
      <c r="C41" s="201">
        <v>8</v>
      </c>
      <c r="D41" s="201">
        <v>6</v>
      </c>
      <c r="E41" s="201">
        <f>1+E40</f>
        <v>29</v>
      </c>
      <c r="F41" s="202"/>
      <c r="G41" s="203" t="str">
        <f>IF(C41="","",VLOOKUP(C41,Список!B:P,12,FALSE))</f>
        <v>«СШ №3(1)» г.Симферополь</v>
      </c>
      <c r="H41" s="203" t="str">
        <f>IF(D41="","",VLOOKUP(D41,Список!B:P,12,FALSE))</f>
        <v>«АРСЕНАЛ-С» г.Севастополь</v>
      </c>
      <c r="I41" s="149">
        <f>$C$36</f>
        <v>45228</v>
      </c>
      <c r="J41" s="126" t="s">
        <v>91</v>
      </c>
      <c r="K41" s="97" t="str">
        <f>CONCATENATE(C41," - ",D41)</f>
        <v>8 - 6</v>
      </c>
      <c r="L41" s="98">
        <f>1+L34</f>
        <v>6</v>
      </c>
      <c r="M41" s="98">
        <f>1+M40</f>
        <v>29</v>
      </c>
      <c r="N41" s="94" t="str">
        <f>CONCATENATE("тур ",L41,", встреча ",M41)</f>
        <v>тур 6, встреча 29</v>
      </c>
      <c r="O41" s="94" t="str">
        <f>CONCATENATE("тур ",L41,", встреча ",M41,", ",K41)</f>
        <v>тур 6, встреча 29, 8 - 6</v>
      </c>
      <c r="P41" s="94" t="str">
        <f>P39</f>
        <v>ЧЕМПИОНАТ РЕСПУБЛИКИ КРЫМ сезона 2023 г. 
по настольному теннису</v>
      </c>
      <c r="Q41" s="94" t="str">
        <f t="shared" si="3"/>
        <v>среди команд ВЫСШЕЙ ЛИГИ (3 тур)</v>
      </c>
      <c r="R41" s="94" t="str">
        <f>R39</f>
        <v>г. Симферополь 
28-29 октября 2023 г.</v>
      </c>
    </row>
    <row r="42" spans="1:18" ht="22.5" customHeight="1" x14ac:dyDescent="0.2">
      <c r="A42" s="158">
        <f t="shared" si="6"/>
        <v>710</v>
      </c>
      <c r="B42" s="94">
        <f t="shared" si="5"/>
        <v>30</v>
      </c>
      <c r="C42" s="201">
        <v>10</v>
      </c>
      <c r="D42" s="201">
        <v>7</v>
      </c>
      <c r="E42" s="201">
        <f>1+E41</f>
        <v>30</v>
      </c>
      <c r="F42" s="202"/>
      <c r="G42" s="203" t="str">
        <f>IF(C42="","",VLOOKUP(C42,Список!B:P,12,FALSE))</f>
        <v>«СШ №3(2)» г.Симферополь</v>
      </c>
      <c r="H42" s="203" t="str">
        <f>IF(D42="","",VLOOKUP(D42,Список!B:P,12,FALSE))</f>
        <v>«Спортшкола» г. Ялта</v>
      </c>
      <c r="I42" s="149">
        <f>$C$36</f>
        <v>45228</v>
      </c>
      <c r="J42" s="126" t="s">
        <v>91</v>
      </c>
      <c r="K42" s="97" t="str">
        <f>CONCATENATE(C42," - ",D42)</f>
        <v>10 - 7</v>
      </c>
      <c r="L42" s="98">
        <f>1+L35</f>
        <v>6</v>
      </c>
      <c r="M42" s="98">
        <f>1+M41</f>
        <v>30</v>
      </c>
      <c r="N42" s="94" t="str">
        <f>CONCATENATE("тур ",L42,", встреча ",M42)</f>
        <v>тур 6, встреча 30</v>
      </c>
      <c r="O42" s="94" t="str">
        <f>CONCATENATE("тур ",L42,", встреча ",M42,", ",K42)</f>
        <v>тур 6, встреча 30, 10 - 7</v>
      </c>
      <c r="P42" s="94" t="str">
        <f>P40</f>
        <v>ЧЕМПИОНАТ РЕСПУБЛИКИ КРЫМ сезона 2023 г. 
по настольному теннису</v>
      </c>
      <c r="Q42" s="94" t="str">
        <f t="shared" si="3"/>
        <v>среди команд ВЫСШЕЙ ЛИГИ (3 тур)</v>
      </c>
      <c r="R42" s="94" t="str">
        <f>R40</f>
        <v>г. Симферополь 
28-29 октября 2023 г.</v>
      </c>
    </row>
    <row r="43" spans="1:18" ht="22.5" customHeight="1" x14ac:dyDescent="0.2">
      <c r="A43" s="158">
        <f t="shared" si="6"/>
        <v>0</v>
      </c>
      <c r="B43" s="94">
        <f t="shared" si="5"/>
        <v>0</v>
      </c>
      <c r="C43" s="355" t="s">
        <v>78</v>
      </c>
      <c r="D43" s="355"/>
      <c r="E43" s="355"/>
      <c r="F43" s="355"/>
      <c r="G43" s="355"/>
      <c r="H43" s="355"/>
      <c r="I43" s="149"/>
      <c r="P43" s="94" t="str">
        <f>P42</f>
        <v>ЧЕМПИОНАТ РЕСПУБЛИКИ КРЫМ сезона 2023 г. 
по настольному теннису</v>
      </c>
      <c r="Q43" s="94" t="str">
        <f t="shared" si="3"/>
        <v>среди команд ВЫСШЕЙ ЛИГИ (3 тур)</v>
      </c>
      <c r="R43" s="94" t="str">
        <f t="shared" si="2"/>
        <v>г. Симферополь 
28-29 октября 2023 г.</v>
      </c>
    </row>
    <row r="44" spans="1:18" ht="22.5" customHeight="1" x14ac:dyDescent="0.2">
      <c r="A44" s="158">
        <f t="shared" si="6"/>
        <v>103</v>
      </c>
      <c r="B44" s="94">
        <f t="shared" si="5"/>
        <v>31</v>
      </c>
      <c r="C44" s="201">
        <v>1</v>
      </c>
      <c r="D44" s="201">
        <v>3</v>
      </c>
      <c r="E44" s="201">
        <f>E42+1</f>
        <v>31</v>
      </c>
      <c r="F44" s="202"/>
      <c r="G44" s="203" t="str">
        <f>IF(C44="","",VLOOKUP(C44,Список!B:P,12,FALSE))</f>
        <v>"РУСИЧИ" г.Симферополь</v>
      </c>
      <c r="H44" s="203" t="str">
        <f>IF(D44="","",VLOOKUP(D44,Список!B:P,12,FALSE))</f>
        <v>«Интер»  г.Евпатория</v>
      </c>
      <c r="I44" s="149">
        <f>$C$36</f>
        <v>45228</v>
      </c>
      <c r="J44" s="127" t="s">
        <v>92</v>
      </c>
      <c r="K44" s="97" t="str">
        <f>CONCATENATE(C44," - ",D44)</f>
        <v>1 - 3</v>
      </c>
      <c r="L44" s="98">
        <f>1+L38</f>
        <v>7</v>
      </c>
      <c r="M44" s="98">
        <f>M42+1</f>
        <v>31</v>
      </c>
      <c r="N44" s="94" t="str">
        <f>CONCATENATE("тур ",L44,", встреча ",M44)</f>
        <v>тур 7, встреча 31</v>
      </c>
      <c r="O44" s="94" t="str">
        <f>CONCATENATE("тур ",L44,", встреча ",M44,", ",K44)</f>
        <v>тур 7, встреча 31, 1 - 3</v>
      </c>
      <c r="P44" s="94" t="str">
        <f>P43</f>
        <v>ЧЕМПИОНАТ РЕСПУБЛИКИ КРЫМ сезона 2023 г. 
по настольному теннису</v>
      </c>
      <c r="Q44" s="94" t="str">
        <f t="shared" si="3"/>
        <v>среди команд ВЫСШЕЙ ЛИГИ (3 тур)</v>
      </c>
      <c r="R44" s="94" t="str">
        <f t="shared" si="2"/>
        <v>г. Симферополь 
28-29 октября 2023 г.</v>
      </c>
    </row>
    <row r="45" spans="1:18" ht="22.5" customHeight="1" x14ac:dyDescent="0.2">
      <c r="A45" s="158">
        <f t="shared" si="6"/>
        <v>205</v>
      </c>
      <c r="B45" s="94">
        <f t="shared" si="5"/>
        <v>32</v>
      </c>
      <c r="C45" s="201">
        <v>2</v>
      </c>
      <c r="D45" s="201">
        <v>5</v>
      </c>
      <c r="E45" s="201">
        <f>1+E44</f>
        <v>32</v>
      </c>
      <c r="F45" s="202"/>
      <c r="G45" s="203" t="str">
        <f>IF(C45="","",VLOOKUP(C45,Список!B:P,12,FALSE))</f>
        <v>«Аэропорт - СШ №3» г.Симферополь</v>
      </c>
      <c r="H45" s="203" t="str">
        <f>IF(D45="","",VLOOKUP(D45,Список!B:P,12,FALSE))</f>
        <v>«Рассвет» г.Симферополь</v>
      </c>
      <c r="I45" s="149">
        <f>$C$36</f>
        <v>45228</v>
      </c>
      <c r="J45" s="127" t="s">
        <v>92</v>
      </c>
      <c r="K45" s="97" t="str">
        <f>CONCATENATE(C45," - ",D45)</f>
        <v>2 - 5</v>
      </c>
      <c r="L45" s="98">
        <f>1+L38</f>
        <v>7</v>
      </c>
      <c r="M45" s="98">
        <f>1+M44</f>
        <v>32</v>
      </c>
      <c r="N45" s="94" t="str">
        <f>CONCATENATE("тур ",L45,", встреча ",M45)</f>
        <v>тур 7, встреча 32</v>
      </c>
      <c r="O45" s="94" t="str">
        <f>CONCATENATE("тур ",L45,", встреча ",M45,", ",K45)</f>
        <v>тур 7, встреча 32, 2 - 5</v>
      </c>
      <c r="P45" s="94" t="str">
        <f>P44</f>
        <v>ЧЕМПИОНАТ РЕСПУБЛИКИ КРЫМ сезона 2023 г. 
по настольному теннису</v>
      </c>
      <c r="Q45" s="94" t="str">
        <f t="shared" si="3"/>
        <v>среди команд ВЫСШЕЙ ЛИГИ (3 тур)</v>
      </c>
      <c r="R45" s="94" t="str">
        <f t="shared" si="2"/>
        <v>г. Симферополь 
28-29 октября 2023 г.</v>
      </c>
    </row>
    <row r="46" spans="1:18" ht="22.5" customHeight="1" x14ac:dyDescent="0.2">
      <c r="A46" s="158">
        <f t="shared" si="6"/>
        <v>407</v>
      </c>
      <c r="B46" s="94">
        <f t="shared" si="5"/>
        <v>33</v>
      </c>
      <c r="C46" s="201">
        <v>4</v>
      </c>
      <c r="D46" s="201">
        <v>7</v>
      </c>
      <c r="E46" s="201">
        <f>1+E45</f>
        <v>33</v>
      </c>
      <c r="F46" s="202"/>
      <c r="G46" s="203" t="str">
        <f>IF(C46="","",VLOOKUP(C46,Список!B:P,12,FALSE))</f>
        <v>«Дрим Тим» г.Симферополь</v>
      </c>
      <c r="H46" s="203" t="str">
        <f>IF(D46="","",VLOOKUP(D46,Список!B:P,12,FALSE))</f>
        <v>«Спортшкола» г. Ялта</v>
      </c>
      <c r="I46" s="149">
        <f>$C$36</f>
        <v>45228</v>
      </c>
      <c r="J46" s="127" t="s">
        <v>92</v>
      </c>
      <c r="K46" s="97" t="str">
        <f>CONCATENATE(C46," - ",D46)</f>
        <v>4 - 7</v>
      </c>
      <c r="L46" s="98">
        <f>1+L38</f>
        <v>7</v>
      </c>
      <c r="M46" s="98">
        <f>1+M45</f>
        <v>33</v>
      </c>
      <c r="N46" s="94" t="str">
        <f>CONCATENATE("тур ",L46,", встреча ",M46)</f>
        <v>тур 7, встреча 33</v>
      </c>
      <c r="O46" s="94" t="str">
        <f>CONCATENATE("тур ",L46,", встреча ",M46,", ",K46)</f>
        <v>тур 7, встреча 33, 4 - 7</v>
      </c>
      <c r="P46" s="94" t="str">
        <f>P45</f>
        <v>ЧЕМПИОНАТ РЕСПУБЛИКИ КРЫМ сезона 2023 г. 
по настольному теннису</v>
      </c>
      <c r="Q46" s="94" t="str">
        <f t="shared" si="3"/>
        <v>среди команд ВЫСШЕЙ ЛИГИ (3 тур)</v>
      </c>
      <c r="R46" s="94" t="str">
        <f t="shared" si="2"/>
        <v>г. Симферополь 
28-29 октября 2023 г.</v>
      </c>
    </row>
    <row r="47" spans="1:18" ht="22.5" customHeight="1" x14ac:dyDescent="0.2">
      <c r="A47" s="158">
        <f t="shared" si="6"/>
        <v>609</v>
      </c>
      <c r="B47" s="94">
        <f t="shared" si="5"/>
        <v>34</v>
      </c>
      <c r="C47" s="201">
        <v>6</v>
      </c>
      <c r="D47" s="201">
        <v>9</v>
      </c>
      <c r="E47" s="201">
        <f>1+E46</f>
        <v>34</v>
      </c>
      <c r="F47" s="202"/>
      <c r="G47" s="203" t="str">
        <f>IF(C47="","",VLOOKUP(C47,Список!B:P,12,FALSE))</f>
        <v>«АРСЕНАЛ-С» г.Севастополь</v>
      </c>
      <c r="H47" s="203" t="str">
        <f>IF(D47="","",VLOOKUP(D47,Список!B:P,12,FALSE))</f>
        <v>"Спортшкола - Юноши" г.Ялта</v>
      </c>
      <c r="I47" s="149">
        <f>$C$36</f>
        <v>45228</v>
      </c>
      <c r="J47" s="127" t="s">
        <v>92</v>
      </c>
      <c r="K47" s="97" t="str">
        <f>CONCATENATE(C47," - ",D47)</f>
        <v>6 - 9</v>
      </c>
      <c r="L47" s="98">
        <f>1+L38</f>
        <v>7</v>
      </c>
      <c r="M47" s="98">
        <f>1+M46</f>
        <v>34</v>
      </c>
      <c r="N47" s="94" t="str">
        <f>CONCATENATE("тур ",L47,", встреча ",M47)</f>
        <v>тур 7, встреча 34</v>
      </c>
      <c r="O47" s="94" t="str">
        <f>CONCATENATE("тур ",L47,", встреча ",M47,", ",K47)</f>
        <v>тур 7, встреча 34, 6 - 9</v>
      </c>
      <c r="P47" s="94" t="str">
        <f>P45</f>
        <v>ЧЕМПИОНАТ РЕСПУБЛИКИ КРЫМ сезона 2023 г. 
по настольному теннису</v>
      </c>
      <c r="Q47" s="94" t="str">
        <f t="shared" si="3"/>
        <v>среди команд ВЫСШЕЙ ЛИГИ (3 тур)</v>
      </c>
      <c r="R47" s="94" t="str">
        <f>R45</f>
        <v>г. Симферополь 
28-29 октября 2023 г.</v>
      </c>
    </row>
    <row r="48" spans="1:18" ht="22.5" customHeight="1" x14ac:dyDescent="0.2">
      <c r="A48" s="158">
        <f t="shared" si="6"/>
        <v>810</v>
      </c>
      <c r="B48" s="94">
        <f t="shared" si="5"/>
        <v>35</v>
      </c>
      <c r="C48" s="201">
        <v>8</v>
      </c>
      <c r="D48" s="201">
        <v>10</v>
      </c>
      <c r="E48" s="201">
        <f>1+E47</f>
        <v>35</v>
      </c>
      <c r="F48" s="202"/>
      <c r="G48" s="203" t="str">
        <f>IF(C48="","",VLOOKUP(C48,Список!B:P,12,FALSE))</f>
        <v>«СШ №3(1)» г.Симферополь</v>
      </c>
      <c r="H48" s="203" t="str">
        <f>IF(D48="","",VLOOKUP(D48,Список!B:P,12,FALSE))</f>
        <v>«СШ №3(2)» г.Симферополь</v>
      </c>
      <c r="I48" s="149">
        <f>$C$36</f>
        <v>45228</v>
      </c>
      <c r="J48" s="127" t="s">
        <v>92</v>
      </c>
      <c r="K48" s="97" t="str">
        <f>CONCATENATE(C48," - ",D48)</f>
        <v>8 - 10</v>
      </c>
      <c r="L48" s="98">
        <f>1+L39</f>
        <v>7</v>
      </c>
      <c r="M48" s="98">
        <f>1+M47</f>
        <v>35</v>
      </c>
      <c r="N48" s="94" t="str">
        <f>CONCATENATE("тур ",L48,", встреча ",M48)</f>
        <v>тур 7, встреча 35</v>
      </c>
      <c r="O48" s="94" t="str">
        <f>CONCATENATE("тур ",L48,", встреча ",M48,", ",K48)</f>
        <v>тур 7, встреча 35, 8 - 10</v>
      </c>
      <c r="P48" s="94" t="str">
        <f>P46</f>
        <v>ЧЕМПИОНАТ РЕСПУБЛИКИ КРЫМ сезона 2023 г. 
по настольному теннису</v>
      </c>
      <c r="Q48" s="94" t="str">
        <f t="shared" si="3"/>
        <v>среди команд ВЫСШЕЙ ЛИГИ (3 тур)</v>
      </c>
      <c r="R48" s="94" t="str">
        <f>R46</f>
        <v>г. Симферополь 
28-29 октября 2023 г.</v>
      </c>
    </row>
    <row r="49" spans="1:18" ht="22.5" customHeight="1" x14ac:dyDescent="0.2">
      <c r="A49" s="158">
        <f t="shared" si="6"/>
        <v>0</v>
      </c>
      <c r="B49" s="94">
        <f t="shared" si="1"/>
        <v>0</v>
      </c>
      <c r="C49" s="355" t="s">
        <v>112</v>
      </c>
      <c r="D49" s="355"/>
      <c r="E49" s="355"/>
      <c r="F49" s="355"/>
      <c r="G49" s="355"/>
      <c r="H49" s="355"/>
      <c r="I49" s="149"/>
      <c r="P49" s="94" t="str">
        <f>P35</f>
        <v>ЧЕМПИОНАТ РЕСПУБЛИКИ КРЫМ сезона 2023 г. 
по настольному теннису</v>
      </c>
      <c r="Q49" s="94" t="str">
        <f t="shared" si="3"/>
        <v>среди команд ВЫСШЕЙ ЛИГИ (3 тур)</v>
      </c>
      <c r="R49" s="94" t="str">
        <f>R35</f>
        <v>г. Симферополь 
28-29 октября 2023 г.</v>
      </c>
    </row>
    <row r="50" spans="1:18" ht="22.5" customHeight="1" x14ac:dyDescent="0.2">
      <c r="A50" s="158">
        <f t="shared" si="6"/>
        <v>203</v>
      </c>
      <c r="B50" s="94">
        <f t="shared" si="1"/>
        <v>36</v>
      </c>
      <c r="C50" s="201">
        <v>3</v>
      </c>
      <c r="D50" s="201">
        <v>2</v>
      </c>
      <c r="E50" s="201">
        <f>E48+1</f>
        <v>36</v>
      </c>
      <c r="F50" s="202"/>
      <c r="G50" s="203" t="str">
        <f>IF(C50="","",VLOOKUP(C50,Список!B:P,12,FALSE))</f>
        <v>«Интер»  г.Евпатория</v>
      </c>
      <c r="H50" s="203" t="str">
        <f>IF(D50="","",VLOOKUP(D50,Список!B:P,12,FALSE))</f>
        <v>«Аэропорт - СШ №3» г.Симферополь</v>
      </c>
      <c r="I50" s="149">
        <f>$C$36</f>
        <v>45228</v>
      </c>
      <c r="J50" s="127" t="s">
        <v>93</v>
      </c>
      <c r="K50" s="97" t="str">
        <f>CONCATENATE(C50," - ",D50)</f>
        <v>3 - 2</v>
      </c>
      <c r="L50" s="98">
        <f>1+L44</f>
        <v>8</v>
      </c>
      <c r="M50" s="98">
        <f>M48+1</f>
        <v>36</v>
      </c>
      <c r="N50" s="94" t="str">
        <f>CONCATENATE("тур ",L50,", встреча ",M50)</f>
        <v>тур 8, встреча 36</v>
      </c>
      <c r="O50" s="94" t="str">
        <f>CONCATENATE("тур ",L50,", встреча ",M50,", ",K50)</f>
        <v>тур 8, встреча 36, 3 - 2</v>
      </c>
      <c r="P50" s="94" t="str">
        <f>P49</f>
        <v>ЧЕМПИОНАТ РЕСПУБЛИКИ КРЫМ сезона 2023 г. 
по настольному теннису</v>
      </c>
      <c r="Q50" s="94" t="str">
        <f t="shared" si="3"/>
        <v>среди команд ВЫСШЕЙ ЛИГИ (3 тур)</v>
      </c>
      <c r="R50" s="94" t="str">
        <f t="shared" si="2"/>
        <v>г. Симферополь 
28-29 октября 2023 г.</v>
      </c>
    </row>
    <row r="51" spans="1:18" ht="22.5" customHeight="1" x14ac:dyDescent="0.2">
      <c r="A51" s="158">
        <f t="shared" si="6"/>
        <v>405</v>
      </c>
      <c r="B51" s="94">
        <f t="shared" si="1"/>
        <v>37</v>
      </c>
      <c r="C51" s="201">
        <v>5</v>
      </c>
      <c r="D51" s="201">
        <v>4</v>
      </c>
      <c r="E51" s="201">
        <f>1+E50</f>
        <v>37</v>
      </c>
      <c r="F51" s="202"/>
      <c r="G51" s="203" t="str">
        <f>IF(C51="","",VLOOKUP(C51,Список!B:P,12,FALSE))</f>
        <v>«Рассвет» г.Симферополь</v>
      </c>
      <c r="H51" s="203" t="str">
        <f>IF(D51="","",VLOOKUP(D51,Список!B:P,12,FALSE))</f>
        <v>«Дрим Тим» г.Симферополь</v>
      </c>
      <c r="I51" s="149">
        <f>$C$36</f>
        <v>45228</v>
      </c>
      <c r="J51" s="127" t="s">
        <v>93</v>
      </c>
      <c r="K51" s="97" t="str">
        <f>CONCATENATE(C51," - ",D51)</f>
        <v>5 - 4</v>
      </c>
      <c r="L51" s="98">
        <f>1+L45</f>
        <v>8</v>
      </c>
      <c r="M51" s="98">
        <f>1+M50</f>
        <v>37</v>
      </c>
      <c r="N51" s="94" t="str">
        <f>CONCATENATE("тур ",L51,", встреча ",M51)</f>
        <v>тур 8, встреча 37</v>
      </c>
      <c r="O51" s="94" t="str">
        <f>CONCATENATE("тур ",L51,", встреча ",M51,", ",K51)</f>
        <v>тур 8, встреча 37, 5 - 4</v>
      </c>
      <c r="P51" s="94" t="str">
        <f>P50</f>
        <v>ЧЕМПИОНАТ РЕСПУБЛИКИ КРЫМ сезона 2023 г. 
по настольному теннису</v>
      </c>
      <c r="Q51" s="94" t="str">
        <f t="shared" si="3"/>
        <v>среди команд ВЫСШЕЙ ЛИГИ (3 тур)</v>
      </c>
      <c r="R51" s="94" t="str">
        <f t="shared" si="2"/>
        <v>г. Симферополь 
28-29 октября 2023 г.</v>
      </c>
    </row>
    <row r="52" spans="1:18" ht="22.5" customHeight="1" x14ac:dyDescent="0.2">
      <c r="A52" s="158">
        <f t="shared" si="6"/>
        <v>110</v>
      </c>
      <c r="B52" s="94">
        <f>E52</f>
        <v>38</v>
      </c>
      <c r="C52" s="201">
        <v>10</v>
      </c>
      <c r="D52" s="201">
        <v>1</v>
      </c>
      <c r="E52" s="201">
        <f>1+E51</f>
        <v>38</v>
      </c>
      <c r="F52" s="202"/>
      <c r="G52" s="203" t="str">
        <f>IF(C52="","",VLOOKUP(C52,Список!B:P,12,FALSE))</f>
        <v>«СШ №3(2)» г.Симферополь</v>
      </c>
      <c r="H52" s="203" t="str">
        <f>IF(D52="","",VLOOKUP(D52,Список!B:P,12,FALSE))</f>
        <v>"РУСИЧИ" г.Симферополь</v>
      </c>
      <c r="I52" s="149">
        <f>$C$36</f>
        <v>45228</v>
      </c>
      <c r="J52" s="127" t="s">
        <v>93</v>
      </c>
      <c r="K52" s="97" t="str">
        <f>CONCATENATE(C52," - ",D52)</f>
        <v>10 - 1</v>
      </c>
      <c r="L52" s="98">
        <f>1+L46</f>
        <v>8</v>
      </c>
      <c r="M52" s="98">
        <f>1+M51</f>
        <v>38</v>
      </c>
      <c r="N52" s="94" t="str">
        <f>CONCATENATE("тур ",L52,", встреча ",M52)</f>
        <v>тур 8, встреча 38</v>
      </c>
      <c r="O52" s="94" t="str">
        <f>CONCATENATE("тур ",L52,", встреча ",M52,", ",K52)</f>
        <v>тур 8, встреча 38, 10 - 1</v>
      </c>
      <c r="P52" s="94" t="str">
        <f>P51</f>
        <v>ЧЕМПИОНАТ РЕСПУБЛИКИ КРЫМ сезона 2023 г. 
по настольному теннису</v>
      </c>
      <c r="Q52" s="94" t="str">
        <f t="shared" si="3"/>
        <v>среди команд ВЫСШЕЙ ЛИГИ (3 тур)</v>
      </c>
      <c r="R52" s="94" t="str">
        <f t="shared" si="2"/>
        <v>г. Симферополь 
28-29 октября 2023 г.</v>
      </c>
    </row>
    <row r="53" spans="1:18" ht="22.5" customHeight="1" x14ac:dyDescent="0.2">
      <c r="A53" s="158">
        <f t="shared" si="6"/>
        <v>607</v>
      </c>
      <c r="B53" s="94">
        <f>E53</f>
        <v>39</v>
      </c>
      <c r="C53" s="201">
        <v>7</v>
      </c>
      <c r="D53" s="201">
        <v>6</v>
      </c>
      <c r="E53" s="201">
        <f>1+E52</f>
        <v>39</v>
      </c>
      <c r="F53" s="202"/>
      <c r="G53" s="203" t="str">
        <f>IF(C53="","",VLOOKUP(C53,Список!B:P,12,FALSE))</f>
        <v>«Спортшкола» г. Ялта</v>
      </c>
      <c r="H53" s="203" t="str">
        <f>IF(D53="","",VLOOKUP(D53,Список!B:P,12,FALSE))</f>
        <v>«АРСЕНАЛ-С» г.Севастополь</v>
      </c>
      <c r="I53" s="149">
        <f>$C$36</f>
        <v>45228</v>
      </c>
      <c r="J53" s="127" t="s">
        <v>93</v>
      </c>
      <c r="K53" s="97" t="str">
        <f>CONCATENATE(C53," - ",D53)</f>
        <v>7 - 6</v>
      </c>
      <c r="L53" s="98">
        <f>1+L47</f>
        <v>8</v>
      </c>
      <c r="M53" s="98">
        <f>1+M52</f>
        <v>39</v>
      </c>
      <c r="N53" s="94" t="str">
        <f>CONCATENATE("тур ",L53,", встреча ",M53)</f>
        <v>тур 8, встреча 39</v>
      </c>
      <c r="O53" s="94" t="str">
        <f>CONCATENATE("тур ",L53,", встреча ",M53,", ",K53)</f>
        <v>тур 8, встреча 39, 7 - 6</v>
      </c>
      <c r="P53" s="94" t="str">
        <f>P51</f>
        <v>ЧЕМПИОНАТ РЕСПУБЛИКИ КРЫМ сезона 2023 г. 
по настольному теннису</v>
      </c>
      <c r="Q53" s="94" t="str">
        <f t="shared" si="3"/>
        <v>среди команд ВЫСШЕЙ ЛИГИ (3 тур)</v>
      </c>
      <c r="R53" s="94" t="str">
        <f>R51</f>
        <v>г. Симферополь 
28-29 октября 2023 г.</v>
      </c>
    </row>
    <row r="54" spans="1:18" ht="22.5" customHeight="1" x14ac:dyDescent="0.2">
      <c r="A54" s="158">
        <f t="shared" si="6"/>
        <v>809</v>
      </c>
      <c r="B54" s="94">
        <f t="shared" si="1"/>
        <v>40</v>
      </c>
      <c r="C54" s="201">
        <v>9</v>
      </c>
      <c r="D54" s="201">
        <v>8</v>
      </c>
      <c r="E54" s="201">
        <f>1+E53</f>
        <v>40</v>
      </c>
      <c r="F54" s="202"/>
      <c r="G54" s="203" t="str">
        <f>IF(C54="","",VLOOKUP(C54,Список!B:P,12,FALSE))</f>
        <v>"Спортшкола - Юноши" г.Ялта</v>
      </c>
      <c r="H54" s="203" t="str">
        <f>IF(D54="","",VLOOKUP(D54,Список!B:P,12,FALSE))</f>
        <v>«СШ №3(1)» г.Симферополь</v>
      </c>
      <c r="I54" s="149">
        <f>$C$36</f>
        <v>45228</v>
      </c>
      <c r="J54" s="127" t="s">
        <v>93</v>
      </c>
      <c r="K54" s="97" t="str">
        <f>CONCATENATE(C54," - ",D54)</f>
        <v>9 - 8</v>
      </c>
      <c r="L54" s="98">
        <f>1+L48</f>
        <v>8</v>
      </c>
      <c r="M54" s="98">
        <f>1+M53</f>
        <v>40</v>
      </c>
      <c r="N54" s="94" t="str">
        <f>CONCATENATE("тур ",L54,", встреча ",M54)</f>
        <v>тур 8, встреча 40</v>
      </c>
      <c r="O54" s="94" t="str">
        <f>CONCATENATE("тур ",L54,", встреча ",M54,", ",K54)</f>
        <v>тур 8, встреча 40, 9 - 8</v>
      </c>
      <c r="P54" s="94" t="str">
        <f>P52</f>
        <v>ЧЕМПИОНАТ РЕСПУБЛИКИ КРЫМ сезона 2023 г. 
по настольному теннису</v>
      </c>
      <c r="Q54" s="94" t="str">
        <f t="shared" si="3"/>
        <v>среди команд ВЫСШЕЙ ЛИГИ (3 тур)</v>
      </c>
      <c r="R54" s="94" t="str">
        <f>R52</f>
        <v>г. Симферополь 
28-29 октября 2023 г.</v>
      </c>
    </row>
    <row r="55" spans="1:18" ht="22.5" customHeight="1" x14ac:dyDescent="0.2">
      <c r="A55" s="158">
        <f t="shared" si="6"/>
        <v>0</v>
      </c>
      <c r="B55" s="94">
        <f t="shared" si="1"/>
        <v>0</v>
      </c>
      <c r="C55" s="355" t="s">
        <v>113</v>
      </c>
      <c r="D55" s="355"/>
      <c r="E55" s="355"/>
      <c r="F55" s="355"/>
      <c r="G55" s="355"/>
      <c r="H55" s="355"/>
      <c r="I55" s="149"/>
      <c r="P55" s="94" t="str">
        <f>P54</f>
        <v>ЧЕМПИОНАТ РЕСПУБЛИКИ КРЫМ сезона 2023 г. 
по настольному теннису</v>
      </c>
      <c r="Q55" s="94" t="str">
        <f t="shared" si="3"/>
        <v>среди команд ВЫСШЕЙ ЛИГИ (3 тур)</v>
      </c>
      <c r="R55" s="94" t="str">
        <f t="shared" si="2"/>
        <v>г. Симферополь 
28-29 октября 2023 г.</v>
      </c>
    </row>
    <row r="56" spans="1:18" ht="22.5" customHeight="1" x14ac:dyDescent="0.2">
      <c r="A56" s="158">
        <f t="shared" si="6"/>
        <v>102</v>
      </c>
      <c r="B56" s="94">
        <f t="shared" si="1"/>
        <v>41</v>
      </c>
      <c r="C56" s="201">
        <v>1</v>
      </c>
      <c r="D56" s="201">
        <v>2</v>
      </c>
      <c r="E56" s="201">
        <f>E54+1</f>
        <v>41</v>
      </c>
      <c r="F56" s="202"/>
      <c r="G56" s="203" t="str">
        <f>IF(C56="","",VLOOKUP(C56,Список!B:P,12,FALSE))</f>
        <v>"РУСИЧИ" г.Симферополь</v>
      </c>
      <c r="H56" s="203" t="str">
        <f>IF(D56="","",VLOOKUP(D56,Список!B:P,12,FALSE))</f>
        <v>«Аэропорт - СШ №3» г.Симферополь</v>
      </c>
      <c r="I56" s="149">
        <f>$C$36</f>
        <v>45228</v>
      </c>
      <c r="J56" s="127" t="s">
        <v>100</v>
      </c>
      <c r="K56" s="97" t="str">
        <f>CONCATENATE(C56," - ",D56)</f>
        <v>1 - 2</v>
      </c>
      <c r="L56" s="98">
        <f>1+L50</f>
        <v>9</v>
      </c>
      <c r="M56" s="98">
        <f>M54+1</f>
        <v>41</v>
      </c>
      <c r="N56" s="94" t="str">
        <f>CONCATENATE("тур ",L56,", встреча ",M56)</f>
        <v>тур 9, встреча 41</v>
      </c>
      <c r="O56" s="94" t="str">
        <f>CONCATENATE("тур ",L56,", встреча ",M56,", ",K56)</f>
        <v>тур 9, встреча 41, 1 - 2</v>
      </c>
      <c r="P56" s="94" t="str">
        <f>P55</f>
        <v>ЧЕМПИОНАТ РЕСПУБЛИКИ КРЫМ сезона 2023 г. 
по настольному теннису</v>
      </c>
      <c r="Q56" s="94" t="str">
        <f t="shared" si="3"/>
        <v>среди команд ВЫСШЕЙ ЛИГИ (3 тур)</v>
      </c>
      <c r="R56" s="94" t="str">
        <f t="shared" si="2"/>
        <v>г. Симферополь 
28-29 октября 2023 г.</v>
      </c>
    </row>
    <row r="57" spans="1:18" ht="22.5" customHeight="1" x14ac:dyDescent="0.2">
      <c r="A57" s="158">
        <f t="shared" si="6"/>
        <v>304</v>
      </c>
      <c r="B57" s="94">
        <f t="shared" si="1"/>
        <v>42</v>
      </c>
      <c r="C57" s="201">
        <v>3</v>
      </c>
      <c r="D57" s="201">
        <v>4</v>
      </c>
      <c r="E57" s="201">
        <f>1+E56</f>
        <v>42</v>
      </c>
      <c r="F57" s="202"/>
      <c r="G57" s="203" t="str">
        <f>IF(C57="","",VLOOKUP(C57,Список!B:P,12,FALSE))</f>
        <v>«Интер»  г.Евпатория</v>
      </c>
      <c r="H57" s="203" t="str">
        <f>IF(D57="","",VLOOKUP(D57,Список!B:P,12,FALSE))</f>
        <v>«Дрим Тим» г.Симферополь</v>
      </c>
      <c r="I57" s="149">
        <f>$C$36</f>
        <v>45228</v>
      </c>
      <c r="J57" s="127" t="s">
        <v>100</v>
      </c>
      <c r="K57" s="97" t="str">
        <f>CONCATENATE(C57," - ",D57)</f>
        <v>3 - 4</v>
      </c>
      <c r="L57" s="98">
        <f>1+L51</f>
        <v>9</v>
      </c>
      <c r="M57" s="98">
        <f>1+M56</f>
        <v>42</v>
      </c>
      <c r="N57" s="94" t="str">
        <f>CONCATENATE("тур ",L57,", встреча ",M57)</f>
        <v>тур 9, встреча 42</v>
      </c>
      <c r="O57" s="94" t="str">
        <f>CONCATENATE("тур ",L57,", встреча ",M57,", ",K57)</f>
        <v>тур 9, встреча 42, 3 - 4</v>
      </c>
      <c r="P57" s="94" t="str">
        <f>P56</f>
        <v>ЧЕМПИОНАТ РЕСПУБЛИКИ КРЫМ сезона 2023 г. 
по настольному теннису</v>
      </c>
      <c r="Q57" s="94" t="str">
        <f t="shared" si="3"/>
        <v>среди команд ВЫСШЕЙ ЛИГИ (3 тур)</v>
      </c>
      <c r="R57" s="94" t="str">
        <f t="shared" si="2"/>
        <v>г. Симферополь 
28-29 октября 2023 г.</v>
      </c>
    </row>
    <row r="58" spans="1:18" ht="22.5" customHeight="1" x14ac:dyDescent="0.2">
      <c r="A58" s="158">
        <f t="shared" si="6"/>
        <v>506</v>
      </c>
      <c r="B58" s="94">
        <f>E58</f>
        <v>43</v>
      </c>
      <c r="C58" s="201">
        <v>5</v>
      </c>
      <c r="D58" s="201">
        <v>6</v>
      </c>
      <c r="E58" s="201">
        <f>1+E57</f>
        <v>43</v>
      </c>
      <c r="F58" s="202"/>
      <c r="G58" s="203" t="str">
        <f>IF(C58="","",VLOOKUP(C58,Список!B:P,12,FALSE))</f>
        <v>«Рассвет» г.Симферополь</v>
      </c>
      <c r="H58" s="203" t="str">
        <f>IF(D58="","",VLOOKUP(D58,Список!B:P,12,FALSE))</f>
        <v>«АРСЕНАЛ-С» г.Севастополь</v>
      </c>
      <c r="I58" s="149">
        <f>$C$36</f>
        <v>45228</v>
      </c>
      <c r="J58" s="127" t="s">
        <v>100</v>
      </c>
      <c r="K58" s="97" t="str">
        <f>CONCATENATE(C58," - ",D58)</f>
        <v>5 - 6</v>
      </c>
      <c r="L58" s="98">
        <f>1+L52</f>
        <v>9</v>
      </c>
      <c r="M58" s="98">
        <f>1+M57</f>
        <v>43</v>
      </c>
      <c r="N58" s="94" t="str">
        <f>CONCATENATE("тур ",L58,", встреча ",M58)</f>
        <v>тур 9, встреча 43</v>
      </c>
      <c r="O58" s="94" t="str">
        <f>CONCATENATE("тур ",L58,", встреча ",M58,", ",K58)</f>
        <v>тур 9, встреча 43, 5 - 6</v>
      </c>
      <c r="P58" s="94" t="str">
        <f>P57</f>
        <v>ЧЕМПИОНАТ РЕСПУБЛИКИ КРЫМ сезона 2023 г. 
по настольному теннису</v>
      </c>
      <c r="Q58" s="94" t="str">
        <f t="shared" si="3"/>
        <v>среди команд ВЫСШЕЙ ЛИГИ (3 тур)</v>
      </c>
      <c r="R58" s="94" t="str">
        <f t="shared" si="2"/>
        <v>г. Симферополь 
28-29 октября 2023 г.</v>
      </c>
    </row>
    <row r="59" spans="1:18" ht="22.5" customHeight="1" x14ac:dyDescent="0.2">
      <c r="A59" s="158">
        <f t="shared" si="6"/>
        <v>708</v>
      </c>
      <c r="B59" s="94">
        <f>E59</f>
        <v>44</v>
      </c>
      <c r="C59" s="201">
        <v>7</v>
      </c>
      <c r="D59" s="201">
        <v>8</v>
      </c>
      <c r="E59" s="201">
        <f>1+E58</f>
        <v>44</v>
      </c>
      <c r="F59" s="202"/>
      <c r="G59" s="203" t="str">
        <f>IF(C59="","",VLOOKUP(C59,Список!B:P,12,FALSE))</f>
        <v>«Спортшкола» г. Ялта</v>
      </c>
      <c r="H59" s="203" t="str">
        <f>IF(D59="","",VLOOKUP(D59,Список!B:P,12,FALSE))</f>
        <v>«СШ №3(1)» г.Симферополь</v>
      </c>
      <c r="I59" s="149">
        <f>$C$36</f>
        <v>45228</v>
      </c>
      <c r="J59" s="127" t="s">
        <v>100</v>
      </c>
      <c r="K59" s="97" t="str">
        <f>CONCATENATE(C59," - ",D59)</f>
        <v>7 - 8</v>
      </c>
      <c r="L59" s="98">
        <f>1+L53</f>
        <v>9</v>
      </c>
      <c r="M59" s="98">
        <f>1+M58</f>
        <v>44</v>
      </c>
      <c r="N59" s="94" t="str">
        <f>CONCATENATE("тур ",L59,", встреча ",M59)</f>
        <v>тур 9, встреча 44</v>
      </c>
      <c r="O59" s="94" t="str">
        <f>CONCATENATE("тур ",L59,", встреча ",M59,", ",K59)</f>
        <v>тур 9, встреча 44, 7 - 8</v>
      </c>
      <c r="P59" s="94" t="str">
        <f>P57</f>
        <v>ЧЕМПИОНАТ РЕСПУБЛИКИ КРЫМ сезона 2023 г. 
по настольному теннису</v>
      </c>
      <c r="Q59" s="94" t="str">
        <f t="shared" si="3"/>
        <v>среди команд ВЫСШЕЙ ЛИГИ (3 тур)</v>
      </c>
      <c r="R59" s="94" t="str">
        <f>R57</f>
        <v>г. Симферополь 
28-29 октября 2023 г.</v>
      </c>
    </row>
    <row r="60" spans="1:18" ht="22.5" customHeight="1" x14ac:dyDescent="0.2">
      <c r="A60" s="158">
        <f t="shared" si="6"/>
        <v>910</v>
      </c>
      <c r="B60" s="94">
        <f t="shared" si="1"/>
        <v>45</v>
      </c>
      <c r="C60" s="201">
        <v>9</v>
      </c>
      <c r="D60" s="201">
        <v>10</v>
      </c>
      <c r="E60" s="201">
        <f>1+E59</f>
        <v>45</v>
      </c>
      <c r="F60" s="202"/>
      <c r="G60" s="203" t="str">
        <f>IF(C60="","",VLOOKUP(C60,Список!B:P,12,FALSE))</f>
        <v>"Спортшкола - Юноши" г.Ялта</v>
      </c>
      <c r="H60" s="203" t="str">
        <f>IF(D60="","",VLOOKUP(D60,Список!B:P,12,FALSE))</f>
        <v>«СШ №3(2)» г.Симферополь</v>
      </c>
      <c r="I60" s="149">
        <f>$C$36</f>
        <v>45228</v>
      </c>
      <c r="J60" s="127" t="s">
        <v>100</v>
      </c>
      <c r="K60" s="97" t="str">
        <f>CONCATENATE(C60," - ",D60)</f>
        <v>9 - 10</v>
      </c>
      <c r="L60" s="98">
        <f>1+L54</f>
        <v>9</v>
      </c>
      <c r="M60" s="98">
        <f>1+M59</f>
        <v>45</v>
      </c>
      <c r="N60" s="94" t="str">
        <f>CONCATENATE("тур ",L60,", встреча ",M60)</f>
        <v>тур 9, встреча 45</v>
      </c>
      <c r="O60" s="94" t="str">
        <f>CONCATENATE("тур ",L60,", встреча ",M60,", ",K60)</f>
        <v>тур 9, встреча 45, 9 - 10</v>
      </c>
      <c r="P60" s="94" t="str">
        <f>P58</f>
        <v>ЧЕМПИОНАТ РЕСПУБЛИКИ КРЫМ сезона 2023 г. 
по настольному теннису</v>
      </c>
      <c r="Q60" s="94" t="str">
        <f t="shared" si="3"/>
        <v>среди команд ВЫСШЕЙ ЛИГИ (3 тур)</v>
      </c>
      <c r="R60" s="94" t="str">
        <f>R58</f>
        <v>г. Симферополь 
28-29 октября 2023 г.</v>
      </c>
    </row>
    <row r="61" spans="1:18" ht="22.5" hidden="1" customHeight="1" x14ac:dyDescent="0.2">
      <c r="C61" s="99"/>
      <c r="D61" s="99"/>
      <c r="E61" s="99"/>
      <c r="F61" s="163"/>
      <c r="G61" s="99"/>
      <c r="H61" s="99"/>
    </row>
    <row r="62" spans="1:18" ht="18" x14ac:dyDescent="0.25">
      <c r="C62" s="100" t="s">
        <v>97</v>
      </c>
      <c r="D62" s="101"/>
      <c r="E62" s="101"/>
      <c r="F62" s="164"/>
      <c r="G62" s="102"/>
      <c r="H62" s="103"/>
      <c r="J62" s="94"/>
      <c r="K62" s="94"/>
      <c r="L62" s="96"/>
      <c r="M62" s="96"/>
    </row>
    <row r="63" spans="1:18" ht="12.75" customHeight="1" x14ac:dyDescent="0.25">
      <c r="D63" s="101"/>
      <c r="E63" s="101"/>
      <c r="F63" s="164"/>
      <c r="G63" s="102"/>
      <c r="H63" s="103"/>
      <c r="J63" s="94"/>
      <c r="K63" s="94"/>
      <c r="L63" s="96"/>
      <c r="M63" s="96"/>
    </row>
    <row r="64" spans="1:18" x14ac:dyDescent="0.2">
      <c r="C64" s="100" t="s">
        <v>98</v>
      </c>
      <c r="J64" s="94"/>
      <c r="K64" s="94"/>
      <c r="L64" s="96"/>
      <c r="M64" s="96"/>
    </row>
    <row r="71" spans="10:13" x14ac:dyDescent="0.2">
      <c r="J71" s="94"/>
      <c r="K71" s="94"/>
      <c r="L71" s="96"/>
      <c r="M71" s="96"/>
    </row>
    <row r="72" spans="10:13" x14ac:dyDescent="0.2">
      <c r="J72" s="94"/>
      <c r="K72" s="94"/>
      <c r="L72" s="96"/>
      <c r="M72" s="96"/>
    </row>
    <row r="73" spans="10:13" x14ac:dyDescent="0.2">
      <c r="J73" s="94"/>
      <c r="K73" s="94"/>
      <c r="L73" s="96"/>
      <c r="M73" s="96"/>
    </row>
    <row r="74" spans="10:13" x14ac:dyDescent="0.2">
      <c r="J74" s="94"/>
      <c r="K74" s="94"/>
      <c r="L74" s="96"/>
      <c r="M74" s="96"/>
    </row>
    <row r="75" spans="10:13" x14ac:dyDescent="0.2">
      <c r="J75" s="94"/>
      <c r="K75" s="94"/>
      <c r="L75" s="96"/>
      <c r="M75" s="96"/>
    </row>
    <row r="76" spans="10:13" x14ac:dyDescent="0.2">
      <c r="J76" s="94"/>
      <c r="K76" s="94"/>
      <c r="L76" s="96"/>
      <c r="M76" s="96"/>
    </row>
    <row r="77" spans="10:13" x14ac:dyDescent="0.2">
      <c r="J77" s="94"/>
      <c r="K77" s="94"/>
      <c r="L77" s="96"/>
      <c r="M77" s="96"/>
    </row>
    <row r="78" spans="10:13" x14ac:dyDescent="0.2">
      <c r="J78" s="94"/>
      <c r="K78" s="94"/>
      <c r="L78" s="96"/>
      <c r="M78" s="96"/>
    </row>
    <row r="79" spans="10:13" x14ac:dyDescent="0.2">
      <c r="J79" s="94"/>
      <c r="K79" s="94"/>
      <c r="L79" s="96"/>
      <c r="M79" s="96"/>
    </row>
    <row r="80" spans="10:13" x14ac:dyDescent="0.2">
      <c r="J80" s="94"/>
      <c r="K80" s="94"/>
      <c r="L80" s="96"/>
      <c r="M80" s="96"/>
    </row>
    <row r="81" spans="10:13" x14ac:dyDescent="0.2">
      <c r="J81" s="94"/>
      <c r="K81" s="94"/>
      <c r="L81" s="96"/>
      <c r="M81" s="96"/>
    </row>
    <row r="82" spans="10:13" x14ac:dyDescent="0.2">
      <c r="J82" s="94"/>
      <c r="K82" s="94"/>
      <c r="L82" s="96"/>
      <c r="M82" s="96"/>
    </row>
    <row r="83" spans="10:13" x14ac:dyDescent="0.2">
      <c r="J83" s="94"/>
      <c r="K83" s="94"/>
      <c r="L83" s="96"/>
      <c r="M83" s="96"/>
    </row>
    <row r="84" spans="10:13" x14ac:dyDescent="0.2">
      <c r="J84" s="94"/>
      <c r="K84" s="94"/>
      <c r="L84" s="96"/>
      <c r="M84" s="96"/>
    </row>
    <row r="85" spans="10:13" x14ac:dyDescent="0.2">
      <c r="J85" s="94"/>
      <c r="K85" s="94"/>
      <c r="L85" s="96"/>
      <c r="M85" s="96"/>
    </row>
    <row r="86" spans="10:13" x14ac:dyDescent="0.2">
      <c r="J86" s="94"/>
      <c r="K86" s="94"/>
      <c r="L86" s="96"/>
      <c r="M86" s="96"/>
    </row>
    <row r="87" spans="10:13" x14ac:dyDescent="0.2">
      <c r="J87" s="94"/>
      <c r="K87" s="94"/>
      <c r="L87" s="96"/>
      <c r="M87" s="96"/>
    </row>
    <row r="88" spans="10:13" x14ac:dyDescent="0.2">
      <c r="J88" s="94"/>
      <c r="K88" s="94"/>
      <c r="L88" s="96"/>
      <c r="M88" s="96"/>
    </row>
    <row r="89" spans="10:13" x14ac:dyDescent="0.2">
      <c r="J89" s="94"/>
      <c r="K89" s="94"/>
      <c r="L89" s="96"/>
      <c r="M89" s="96"/>
    </row>
    <row r="90" spans="10:13" x14ac:dyDescent="0.2">
      <c r="J90" s="94"/>
      <c r="K90" s="94"/>
      <c r="L90" s="96"/>
      <c r="M90" s="96"/>
    </row>
    <row r="91" spans="10:13" x14ac:dyDescent="0.2">
      <c r="J91" s="94"/>
      <c r="K91" s="94"/>
      <c r="L91" s="96"/>
      <c r="M91" s="96"/>
    </row>
    <row r="92" spans="10:13" x14ac:dyDescent="0.2">
      <c r="J92" s="94"/>
      <c r="K92" s="94"/>
      <c r="L92" s="96"/>
      <c r="M92" s="96"/>
    </row>
    <row r="93" spans="10:13" x14ac:dyDescent="0.2">
      <c r="J93" s="94"/>
      <c r="K93" s="94"/>
      <c r="L93" s="96"/>
      <c r="M93" s="96"/>
    </row>
    <row r="94" spans="10:13" x14ac:dyDescent="0.2">
      <c r="J94" s="94"/>
      <c r="K94" s="94"/>
      <c r="L94" s="96"/>
      <c r="M94" s="96"/>
    </row>
    <row r="95" spans="10:13" x14ac:dyDescent="0.2">
      <c r="J95" s="94"/>
      <c r="K95" s="94"/>
      <c r="L95" s="96"/>
      <c r="M95" s="96"/>
    </row>
    <row r="96" spans="10:13" x14ac:dyDescent="0.2">
      <c r="J96" s="94"/>
      <c r="K96" s="94"/>
      <c r="L96" s="96"/>
      <c r="M96" s="96"/>
    </row>
    <row r="97" spans="10:13" x14ac:dyDescent="0.2">
      <c r="J97" s="94"/>
      <c r="K97" s="94"/>
      <c r="L97" s="96"/>
      <c r="M97" s="96"/>
    </row>
    <row r="98" spans="10:13" x14ac:dyDescent="0.2">
      <c r="J98" s="94"/>
      <c r="K98" s="94"/>
      <c r="L98" s="96"/>
      <c r="M98" s="96"/>
    </row>
    <row r="99" spans="10:13" x14ac:dyDescent="0.2">
      <c r="J99" s="94"/>
      <c r="K99" s="94"/>
      <c r="L99" s="96"/>
      <c r="M99" s="96"/>
    </row>
    <row r="100" spans="10:13" x14ac:dyDescent="0.2">
      <c r="J100" s="94"/>
      <c r="K100" s="94"/>
      <c r="L100" s="96"/>
      <c r="M100" s="96"/>
    </row>
    <row r="101" spans="10:13" x14ac:dyDescent="0.2">
      <c r="J101" s="94"/>
      <c r="K101" s="94"/>
      <c r="L101" s="96"/>
      <c r="M101" s="96"/>
    </row>
    <row r="102" spans="10:13" x14ac:dyDescent="0.2">
      <c r="J102" s="94"/>
      <c r="K102" s="94"/>
      <c r="L102" s="96"/>
      <c r="M102" s="96"/>
    </row>
    <row r="103" spans="10:13" x14ac:dyDescent="0.2">
      <c r="J103" s="94"/>
      <c r="K103" s="94"/>
      <c r="L103" s="96"/>
      <c r="M103" s="96"/>
    </row>
    <row r="104" spans="10:13" x14ac:dyDescent="0.2">
      <c r="J104" s="94"/>
      <c r="K104" s="94"/>
      <c r="L104" s="96"/>
      <c r="M104" s="96"/>
    </row>
    <row r="105" spans="10:13" x14ac:dyDescent="0.2">
      <c r="J105" s="94"/>
      <c r="K105" s="94"/>
      <c r="L105" s="96"/>
      <c r="M105" s="96"/>
    </row>
    <row r="106" spans="10:13" x14ac:dyDescent="0.2">
      <c r="J106" s="94"/>
      <c r="K106" s="94"/>
      <c r="L106" s="96"/>
      <c r="M106" s="96"/>
    </row>
    <row r="107" spans="10:13" x14ac:dyDescent="0.2">
      <c r="J107" s="94"/>
      <c r="K107" s="94"/>
      <c r="L107" s="96"/>
      <c r="M107" s="96"/>
    </row>
    <row r="108" spans="10:13" x14ac:dyDescent="0.2">
      <c r="J108" s="94"/>
      <c r="K108" s="94"/>
      <c r="L108" s="96"/>
      <c r="M108" s="96"/>
    </row>
    <row r="109" spans="10:13" x14ac:dyDescent="0.2">
      <c r="J109" s="94"/>
      <c r="K109" s="94"/>
      <c r="L109" s="96"/>
      <c r="M109" s="96"/>
    </row>
    <row r="110" spans="10:13" x14ac:dyDescent="0.2">
      <c r="J110" s="94"/>
      <c r="K110" s="94"/>
      <c r="L110" s="96"/>
      <c r="M110" s="96"/>
    </row>
    <row r="111" spans="10:13" x14ac:dyDescent="0.2">
      <c r="J111" s="94"/>
      <c r="K111" s="94"/>
      <c r="L111" s="96"/>
      <c r="M111" s="96"/>
    </row>
    <row r="112" spans="10:13" x14ac:dyDescent="0.2">
      <c r="J112" s="94"/>
      <c r="K112" s="94"/>
      <c r="L112" s="96"/>
      <c r="M112" s="96"/>
    </row>
    <row r="113" spans="10:13" x14ac:dyDescent="0.2">
      <c r="J113" s="94"/>
      <c r="K113" s="94"/>
      <c r="L113" s="96"/>
      <c r="M113" s="96"/>
    </row>
    <row r="114" spans="10:13" x14ac:dyDescent="0.2">
      <c r="J114" s="94"/>
      <c r="K114" s="94"/>
      <c r="L114" s="96"/>
      <c r="M114" s="96"/>
    </row>
    <row r="115" spans="10:13" x14ac:dyDescent="0.2">
      <c r="J115" s="94"/>
      <c r="K115" s="94"/>
      <c r="L115" s="96"/>
      <c r="M115" s="96"/>
    </row>
    <row r="116" spans="10:13" x14ac:dyDescent="0.2">
      <c r="J116" s="94"/>
      <c r="K116" s="94"/>
      <c r="L116" s="96"/>
      <c r="M116" s="96"/>
    </row>
    <row r="117" spans="10:13" x14ac:dyDescent="0.2">
      <c r="J117" s="94"/>
      <c r="K117" s="94"/>
      <c r="L117" s="96"/>
      <c r="M117" s="96"/>
    </row>
    <row r="118" spans="10:13" x14ac:dyDescent="0.2">
      <c r="J118" s="94"/>
      <c r="K118" s="94"/>
      <c r="L118" s="96"/>
      <c r="M118" s="96"/>
    </row>
    <row r="119" spans="10:13" x14ac:dyDescent="0.2">
      <c r="J119" s="94"/>
      <c r="K119" s="94"/>
      <c r="L119" s="96"/>
      <c r="M119" s="96"/>
    </row>
    <row r="120" spans="10:13" x14ac:dyDescent="0.2">
      <c r="J120" s="94"/>
      <c r="K120" s="94"/>
      <c r="L120" s="96"/>
      <c r="M120" s="96"/>
    </row>
    <row r="121" spans="10:13" x14ac:dyDescent="0.2">
      <c r="J121" s="94"/>
      <c r="K121" s="94"/>
      <c r="L121" s="96"/>
      <c r="M121" s="96"/>
    </row>
    <row r="122" spans="10:13" x14ac:dyDescent="0.2">
      <c r="J122" s="94"/>
      <c r="K122" s="94"/>
      <c r="L122" s="96"/>
      <c r="M122" s="96"/>
    </row>
    <row r="123" spans="10:13" x14ac:dyDescent="0.2">
      <c r="J123" s="94"/>
      <c r="K123" s="94"/>
      <c r="L123" s="96"/>
      <c r="M123" s="96"/>
    </row>
    <row r="124" spans="10:13" x14ac:dyDescent="0.2">
      <c r="J124" s="94"/>
      <c r="K124" s="94"/>
      <c r="L124" s="96"/>
      <c r="M124" s="96"/>
    </row>
    <row r="125" spans="10:13" x14ac:dyDescent="0.2">
      <c r="J125" s="94"/>
      <c r="K125" s="94"/>
      <c r="L125" s="96"/>
      <c r="M125" s="96"/>
    </row>
    <row r="126" spans="10:13" x14ac:dyDescent="0.2">
      <c r="J126" s="94"/>
      <c r="K126" s="94"/>
      <c r="L126" s="96"/>
      <c r="M126" s="96"/>
    </row>
    <row r="127" spans="10:13" x14ac:dyDescent="0.2">
      <c r="J127" s="94"/>
      <c r="K127" s="94"/>
      <c r="L127" s="96"/>
      <c r="M127" s="96"/>
    </row>
    <row r="128" spans="10:13" x14ac:dyDescent="0.2">
      <c r="J128" s="94"/>
      <c r="K128" s="94"/>
      <c r="L128" s="96"/>
      <c r="M128" s="96"/>
    </row>
    <row r="129" spans="10:13" x14ac:dyDescent="0.2">
      <c r="J129" s="94"/>
      <c r="K129" s="94"/>
      <c r="L129" s="96"/>
      <c r="M129" s="96"/>
    </row>
    <row r="130" spans="10:13" x14ac:dyDescent="0.2">
      <c r="J130" s="94"/>
      <c r="K130" s="94"/>
      <c r="L130" s="96"/>
      <c r="M130" s="96"/>
    </row>
    <row r="131" spans="10:13" x14ac:dyDescent="0.2">
      <c r="J131" s="94"/>
      <c r="K131" s="94"/>
      <c r="L131" s="96"/>
      <c r="M131" s="96"/>
    </row>
  </sheetData>
  <mergeCells count="14">
    <mergeCell ref="C36:H36"/>
    <mergeCell ref="C49:H49"/>
    <mergeCell ref="C55:H55"/>
    <mergeCell ref="C30:H30"/>
    <mergeCell ref="C12:H12"/>
    <mergeCell ref="C18:H18"/>
    <mergeCell ref="C24:H24"/>
    <mergeCell ref="C37:H37"/>
    <mergeCell ref="C43:H43"/>
    <mergeCell ref="C1:H1"/>
    <mergeCell ref="C2:H2"/>
    <mergeCell ref="C3:H3"/>
    <mergeCell ref="C5:H5"/>
    <mergeCell ref="C6:H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92D050"/>
    <pageSetUpPr fitToPage="1"/>
  </sheetPr>
  <dimension ref="A1:IU102"/>
  <sheetViews>
    <sheetView topLeftCell="E1" zoomScale="55" zoomScaleNormal="55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«Рассвет» г.Симферополь</v>
      </c>
      <c r="B1" s="576"/>
      <c r="C1" s="577" t="str">
        <f>IF(D11="","",VLOOKUP(D11,Список!B:O,12,FALSE))</f>
        <v>«СШ №3(2)» г.Симферополь</v>
      </c>
      <c r="D1" s="578"/>
      <c r="E1" s="579">
        <v>5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51</v>
      </c>
      <c r="B2" s="13" t="str">
        <f>IF(A2="","",VLOOKUP(A2,Список!E:O,2,FALSE))</f>
        <v xml:space="preserve"> Пикульский Никита Петрович</v>
      </c>
      <c r="C2" s="14">
        <f>IF($B$11="","",$D$11*10+1)</f>
        <v>101</v>
      </c>
      <c r="D2" s="15" t="str">
        <f>IF(C2="","",VLOOKUP(C2,Список!E:O,2,FALSE))</f>
        <v xml:space="preserve"> Талалай Игорь Сергеевич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52</v>
      </c>
      <c r="B3" s="13" t="str">
        <f>IF(A3="","",VLOOKUP(A3,Список!E:O,2,FALSE))</f>
        <v xml:space="preserve"> Третьяков Олег Маратович</v>
      </c>
      <c r="C3" s="14">
        <f>IF($B$11="","",$D$11*10+2)</f>
        <v>102</v>
      </c>
      <c r="D3" s="15" t="str">
        <f>IF(C3="","",VLOOKUP(C3,Список!E:O,2,FALSE))</f>
        <v xml:space="preserve"> Назаренко Олег Михайлович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53</v>
      </c>
      <c r="B4" s="13" t="str">
        <f>IF(A4="","",VLOOKUP(A4,Список!E:O,2,FALSE))</f>
        <v xml:space="preserve"> Рехтин Андрей Павлович</v>
      </c>
      <c r="C4" s="14">
        <f>IF($B$11="","",$D$11*10+3)</f>
        <v>103</v>
      </c>
      <c r="D4" s="15" t="str">
        <f>IF(C4="","",VLOOKUP(C4,Список!E:O,2,FALSE))</f>
        <v xml:space="preserve"> Романовский Александр Витальевич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54</v>
      </c>
      <c r="B5" s="13" t="str">
        <f>IF(A5="","",VLOOKUP(A5,Список!E:O,2,FALSE))</f>
        <v xml:space="preserve"> Алёшкин Дмитрий Сергеевич</v>
      </c>
      <c r="C5" s="14">
        <f>IF($B$11="","",$D$11*10+4)</f>
        <v>104</v>
      </c>
      <c r="D5" s="15" t="str">
        <f>IF(C5="","",VLOOKUP(C5,Список!E:O,2,FALSE))</f>
        <v xml:space="preserve"> Алексеев Игорь Юрьевич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55</v>
      </c>
      <c r="B6" s="13" t="str">
        <f>IF(A6="","",VLOOKUP(A6,Список!E:O,2,FALSE))</f>
        <v>-</v>
      </c>
      <c r="C6" s="14">
        <f>IF($B$11="","",$D$11*10+5)</f>
        <v>105</v>
      </c>
      <c r="D6" s="15" t="str">
        <f>IF(C6="","",VLOOKUP(C6,Список!E:O,2,FALSE))</f>
        <v xml:space="preserve"> Тимофеев Александр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56</v>
      </c>
      <c r="B7" s="13" t="str">
        <f>IF(A7="","",VLOOKUP(A7,Список!E:O,2,FALSE))</f>
        <v>-</v>
      </c>
      <c r="C7" s="14">
        <f>IF($B$11="","",$D$11*10+6)</f>
        <v>106</v>
      </c>
      <c r="D7" s="15" t="str">
        <f>IF(C7="","",VLOOKUP(C7,Список!E:O,2,FALSE))</f>
        <v xml:space="preserve"> Спорышев Александр Алексеевич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57</v>
      </c>
      <c r="B8" s="13" t="str">
        <f>IF(A8="","",VLOOKUP(A8,Список!E:O,2,FALSE))</f>
        <v>-</v>
      </c>
      <c r="C8" s="14">
        <f>IF($B$11="","",$D$11*10+7)</f>
        <v>107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«Рассвет»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№3(2)»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58</v>
      </c>
      <c r="B9" s="13" t="str">
        <f>IF(A9="","",VLOOKUP(A9,Список!E:O,2,FALSE))</f>
        <v>-</v>
      </c>
      <c r="C9" s="14">
        <f>IF($B$11="","",$D$11*10+8)</f>
        <v>108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5</v>
      </c>
      <c r="C11" s="27" t="s">
        <v>18</v>
      </c>
      <c r="D11" s="29">
        <f>IF(B11="","",IF(B11=A13,C13,IF(B11=C13,A13,)))</f>
        <v>10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«Рассвет»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№3(2)»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50</v>
      </c>
      <c r="D12" s="25">
        <f>IF(B11="","",D11*10)</f>
        <v>100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5</v>
      </c>
      <c r="B13" s="566"/>
      <c r="C13" s="565">
        <f>IF($E$1="","",VLOOKUP($E$1,'Общее расписание'!$B:$V,3,FALSE))</f>
        <v>10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Пикульский Н., Третьяков О.М.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1, встреча 5, 5 - 10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5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35"/>
      <c r="AD14" s="35"/>
      <c r="AE14" s="35"/>
      <c r="AF14" s="35"/>
      <c r="AG14" s="35"/>
      <c r="AH14" s="35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51</v>
      </c>
      <c r="C16" s="41" t="s">
        <v>35</v>
      </c>
      <c r="D16" s="40">
        <v>102</v>
      </c>
      <c r="E16" s="42" t="s">
        <v>154</v>
      </c>
      <c r="F16" s="42" t="s">
        <v>155</v>
      </c>
      <c r="G16" s="42" t="s">
        <v>154</v>
      </c>
      <c r="H16" s="42"/>
      <c r="I16" s="42"/>
      <c r="J16" s="43">
        <f>IF(E16="","",IF(E16="0",1000,IF(E16="-0",-1000,E16*1)))</f>
        <v>6</v>
      </c>
      <c r="K16" s="43">
        <f>IF(F16="","",IF(F16="0",1000,IF(F16="-0",-1000,F16*1)))</f>
        <v>5</v>
      </c>
      <c r="L16" s="43">
        <f>IF(G16="","",IF(G16="0",1000,IF(G16="-0",-1000,G16*1)))</f>
        <v>6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Пикульский Никита Петрович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Назаренко Олег Михайлович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6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5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6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6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5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6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6</v>
      </c>
      <c r="IO16" s="57">
        <f>IF(F16="","",FE16*1)</f>
        <v>5</v>
      </c>
      <c r="IP16" s="57">
        <f>IF(G16="","",FO16*1)</f>
        <v>6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17</v>
      </c>
    </row>
    <row r="17" spans="1:254" ht="30" customHeight="1" x14ac:dyDescent="0.35">
      <c r="A17" s="39" t="s">
        <v>18</v>
      </c>
      <c r="B17" s="40">
        <v>53</v>
      </c>
      <c r="C17" s="41" t="s">
        <v>34</v>
      </c>
      <c r="D17" s="40">
        <v>101</v>
      </c>
      <c r="E17" s="42" t="s">
        <v>171</v>
      </c>
      <c r="F17" s="42" t="s">
        <v>156</v>
      </c>
      <c r="G17" s="42" t="s">
        <v>166</v>
      </c>
      <c r="H17" s="42" t="s">
        <v>169</v>
      </c>
      <c r="I17" s="42"/>
      <c r="J17" s="43">
        <f t="shared" ref="J17:N20" si="2">IF(E17="","",IF(E17="0",1000,IF(E17="-0",-1000,E17*1)))</f>
        <v>-6</v>
      </c>
      <c r="K17" s="43">
        <f t="shared" si="2"/>
        <v>-9</v>
      </c>
      <c r="L17" s="43">
        <f t="shared" si="2"/>
        <v>8</v>
      </c>
      <c r="M17" s="43">
        <f t="shared" si="2"/>
        <v>-8</v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1</v>
      </c>
      <c r="R17" s="44">
        <f t="shared" si="0"/>
        <v>0</v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0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Рехтин Андрей Павлович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Талалай Игорь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6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9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8</v>
      </c>
      <c r="FP17" s="255"/>
      <c r="FQ17" s="255"/>
      <c r="FR17" s="256"/>
      <c r="FS17" s="257">
        <f>IF(H17="","",IF(M17&gt;9,IC17,IA17))</f>
        <v>8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6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9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8</v>
      </c>
      <c r="IA17" s="53">
        <f>IF(H17="","",IF(M17=1000,11,IF(M17=-1000,0,IF(M17&gt;0,11,IF(M17&lt;0,(-M17),"0")))))</f>
        <v>8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6</v>
      </c>
      <c r="IJ17" s="56">
        <f>IF(F17="","",EY17*1)</f>
        <v>9</v>
      </c>
      <c r="IK17" s="56">
        <f>IF(G17="","",FI17*1)</f>
        <v>11</v>
      </c>
      <c r="IL17" s="56">
        <f>IF(H17="","",FS17*1)</f>
        <v>8</v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8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34</v>
      </c>
      <c r="IT17" s="58">
        <f>IF(E17="","",SUM(IN17:IR17))</f>
        <v>41</v>
      </c>
    </row>
    <row r="18" spans="1:254" ht="30" customHeight="1" x14ac:dyDescent="0.2">
      <c r="A18" s="39" t="s">
        <v>36</v>
      </c>
      <c r="B18" s="40">
        <v>52</v>
      </c>
      <c r="C18" s="41" t="s">
        <v>37</v>
      </c>
      <c r="D18" s="40">
        <v>103</v>
      </c>
      <c r="E18" s="42" t="s">
        <v>166</v>
      </c>
      <c r="F18" s="42" t="s">
        <v>161</v>
      </c>
      <c r="G18" s="42" t="s">
        <v>171</v>
      </c>
      <c r="H18" s="42" t="s">
        <v>169</v>
      </c>
      <c r="I18" s="42" t="s">
        <v>169</v>
      </c>
      <c r="J18" s="43">
        <f t="shared" si="2"/>
        <v>8</v>
      </c>
      <c r="K18" s="43">
        <f t="shared" si="2"/>
        <v>4</v>
      </c>
      <c r="L18" s="43">
        <f t="shared" si="2"/>
        <v>-6</v>
      </c>
      <c r="M18" s="43">
        <f t="shared" si="2"/>
        <v>-8</v>
      </c>
      <c r="N18" s="43">
        <f t="shared" si="2"/>
        <v>-8</v>
      </c>
      <c r="O18" s="44">
        <f>IF(J18="","",IF(J18&gt;0,1,0))</f>
        <v>1</v>
      </c>
      <c r="P18" s="44">
        <f t="shared" si="0"/>
        <v>1</v>
      </c>
      <c r="Q18" s="44">
        <f t="shared" si="0"/>
        <v>0</v>
      </c>
      <c r="R18" s="44">
        <f t="shared" si="0"/>
        <v>0</v>
      </c>
      <c r="S18" s="44">
        <f t="shared" si="0"/>
        <v>0</v>
      </c>
      <c r="T18" s="45">
        <f t="shared" si="1"/>
        <v>0</v>
      </c>
      <c r="U18" s="45">
        <f t="shared" si="1"/>
        <v>0</v>
      </c>
      <c r="V18" s="45">
        <f t="shared" si="1"/>
        <v>1</v>
      </c>
      <c r="W18" s="45">
        <f t="shared" si="1"/>
        <v>1</v>
      </c>
      <c r="X18" s="45">
        <f t="shared" si="1"/>
        <v>1</v>
      </c>
      <c r="Y18" s="46">
        <f>IF(E18="","",SUM(O18:S18))</f>
        <v>2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Третьяков Олег Маратович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Романовский Александр Витальевич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8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4</v>
      </c>
      <c r="FF18" s="255"/>
      <c r="FG18" s="255"/>
      <c r="FH18" s="256"/>
      <c r="FI18" s="257">
        <f>IF(G18="","",IF(L18&gt;9,HY18,HW18))</f>
        <v>6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>
        <f>IF(H18="","",IF(M18&gt;9,IC18,IA18))</f>
        <v>8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11</v>
      </c>
      <c r="FZ18" s="255"/>
      <c r="GA18" s="255"/>
      <c r="GB18" s="256"/>
      <c r="GC18" s="257">
        <f>IF(I18="","",IF(N18&gt;9,IG18,IE18))</f>
        <v>8</v>
      </c>
      <c r="GD18" s="255"/>
      <c r="GE18" s="255"/>
      <c r="GF18" s="255"/>
      <c r="GG18" s="254" t="str">
        <f>IF(GC18="","","-")</f>
        <v>-</v>
      </c>
      <c r="GH18" s="254"/>
      <c r="GI18" s="255">
        <f>IF(I18="","",IF(N18&lt;-9,IF18,IH18))</f>
        <v>11</v>
      </c>
      <c r="GJ18" s="255"/>
      <c r="GK18" s="255"/>
      <c r="GL18" s="302"/>
      <c r="GM18" s="303">
        <f>Y18</f>
        <v>2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8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4</v>
      </c>
      <c r="HW18" s="49">
        <f>IF(G18="","",IF(L18=1000,11,IF(L18=-1000,0,IF(L18&gt;0,11,IF(L18&lt;0,(-L18),"0")))))</f>
        <v>6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>
        <f>IF(H18="","",IF(M18=1000,11,IF(M18=-1000,0,IF(M18&gt;0,11,IF(M18&lt;0,(-M18),"0")))))</f>
        <v>8</v>
      </c>
      <c r="IB18" s="53" t="str">
        <f>IF(H18="","",IF(G18="","",IF(M18=1000,0,IF(M18=-1000,11,IF(M18&lt;-9,-(M18-2),IF(M18&gt;0,(GX18),"0"))))))</f>
        <v>0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11</v>
      </c>
      <c r="IE18" s="49">
        <f>IF(I18="","",IF(N18=1000,11,IF(N18=-1000,0,IF(N18&gt;0,11,IF(N18&lt;0,(-N18),"0")))))</f>
        <v>8</v>
      </c>
      <c r="IF18" s="50" t="str">
        <f>IF(I18="","",IF(N18=1000,0,IF(N18=-1000,11,IF(N18&lt;-9,-(N18-2),IF(N18&gt;0,(GY18),"0")))))</f>
        <v>0</v>
      </c>
      <c r="IG18" s="51">
        <f>IF(I18="","",IF(N18=1000,11,IF(N18=-1000,0,IF(N18&lt;9,11,IF(N18&gt;9,(N18+2),"0")))))</f>
        <v>11</v>
      </c>
      <c r="IH18" s="55">
        <f>IF(I18="","",IF(N18=1000,0,IF(N18=-1000,11,IF(N18&lt;0,11,IF(N18&gt;0,(N18),"0")))))</f>
        <v>11</v>
      </c>
      <c r="II18" s="56">
        <f>IF(E18="","",EO18*1)</f>
        <v>11</v>
      </c>
      <c r="IJ18" s="56">
        <f>IF(F18="","",EY18*1)</f>
        <v>11</v>
      </c>
      <c r="IK18" s="56">
        <f>IF(G18="","",FI18*1)</f>
        <v>6</v>
      </c>
      <c r="IL18" s="56">
        <f>IF(H18="","",FS18*1)</f>
        <v>8</v>
      </c>
      <c r="IM18" s="56">
        <f>IF(I18="","",GC18*1)</f>
        <v>8</v>
      </c>
      <c r="IN18" s="57">
        <f>IF(E18="","",EU18*1)</f>
        <v>8</v>
      </c>
      <c r="IO18" s="57">
        <f>IF(F18="","",FE18*1)</f>
        <v>4</v>
      </c>
      <c r="IP18" s="57">
        <f>IF(G18="","",FO18*1)</f>
        <v>11</v>
      </c>
      <c r="IQ18" s="57">
        <f>IF(H18="","",FY18*1)</f>
        <v>11</v>
      </c>
      <c r="IR18" s="57">
        <f>IF(I18="","",GI18*1)</f>
        <v>11</v>
      </c>
      <c r="IS18" s="58">
        <f>IF(E18="","",SUM(II18:IM18))</f>
        <v>44</v>
      </c>
      <c r="IT18" s="58">
        <f>IF(E18="","",SUM(IN18:IR18))</f>
        <v>45</v>
      </c>
    </row>
    <row r="19" spans="1:254" ht="30" customHeight="1" x14ac:dyDescent="0.2">
      <c r="A19" s="39" t="s">
        <v>17</v>
      </c>
      <c r="B19" s="59">
        <f>IF(B16=0,"",B16)</f>
        <v>51</v>
      </c>
      <c r="C19" s="41" t="s">
        <v>34</v>
      </c>
      <c r="D19" s="59">
        <f>IF(D17=0,"",D17)</f>
        <v>101</v>
      </c>
      <c r="E19" s="42" t="s">
        <v>152</v>
      </c>
      <c r="F19" s="42" t="s">
        <v>172</v>
      </c>
      <c r="G19" s="42" t="s">
        <v>165</v>
      </c>
      <c r="H19" s="42"/>
      <c r="I19" s="42"/>
      <c r="J19" s="43">
        <f t="shared" si="2"/>
        <v>-7</v>
      </c>
      <c r="K19" s="43">
        <f t="shared" si="2"/>
        <v>-5</v>
      </c>
      <c r="L19" s="43">
        <f t="shared" si="2"/>
        <v>-11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Пикульский Никита Петрович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Талалай Игорь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7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5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13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7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5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13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7</v>
      </c>
      <c r="IJ19" s="56">
        <f>IF(F19="","",EY19*1)</f>
        <v>5</v>
      </c>
      <c r="IK19" s="56">
        <f>IF(G19="","",FI19*1)</f>
        <v>11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13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23</v>
      </c>
      <c r="IT19" s="58">
        <f>IF(E19="","",SUM(IN19:IR19))</f>
        <v>35</v>
      </c>
    </row>
    <row r="20" spans="1:254" ht="30" customHeight="1" thickBot="1" x14ac:dyDescent="0.4">
      <c r="A20" s="39" t="s">
        <v>18</v>
      </c>
      <c r="B20" s="59">
        <f>IF(B17=0,"",B17)</f>
        <v>53</v>
      </c>
      <c r="C20" s="41" t="s">
        <v>35</v>
      </c>
      <c r="D20" s="59">
        <f>IF(D16=0,"",D16)</f>
        <v>102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Рехтин Андрей Павлович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Назаренко Олег Михайлович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10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«СШ №3(2)»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6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134</v>
      </c>
      <c r="IT21" s="65">
        <f>IF(E16="","",SUM(IT16:IT20))</f>
        <v>138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5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«Рассвет»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№3(2)»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52</v>
      </c>
      <c r="F57" s="481"/>
      <c r="G57" s="9"/>
      <c r="H57" s="480">
        <f>C2</f>
        <v>101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102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53</v>
      </c>
      <c r="F58" s="481"/>
      <c r="G58" s="9"/>
      <c r="H58" s="480">
        <f>C4</f>
        <v>103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103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56</v>
      </c>
      <c r="F59" s="481"/>
      <c r="G59" s="9"/>
      <c r="H59" s="480">
        <f>C7</f>
        <v>106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57</v>
      </c>
      <c r="F60" s="481"/>
      <c r="G60" s="9"/>
      <c r="H60" s="480">
        <f>C8</f>
        <v>107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58</v>
      </c>
      <c r="F61" s="481"/>
      <c r="G61" s="9"/>
      <c r="H61" s="480">
        <f>C9</f>
        <v>108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59</v>
      </c>
      <c r="F62" s="481"/>
      <c r="G62" s="9"/>
      <c r="H62" s="480">
        <f>1+H61</f>
        <v>109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60</v>
      </c>
      <c r="F63" s="481"/>
      <c r="G63" s="9"/>
      <c r="H63" s="480">
        <f>1+H62</f>
        <v>110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61</v>
      </c>
      <c r="F64" s="481"/>
      <c r="G64" s="9"/>
      <c r="H64" s="480">
        <f>1+H63</f>
        <v>111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62</v>
      </c>
      <c r="F65" s="481"/>
      <c r="G65" s="9"/>
      <c r="H65" s="480">
        <f>1+H64</f>
        <v>112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63</v>
      </c>
      <c r="F66" s="481"/>
      <c r="G66" s="9"/>
      <c r="H66" s="480">
        <f>1+H65</f>
        <v>113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R7:CS7"/>
    <mergeCell ref="CT7:DU7"/>
    <mergeCell ref="DV7:EW7"/>
    <mergeCell ref="EX7:FY7"/>
    <mergeCell ref="AM8:DS8"/>
    <mergeCell ref="DT8:DW8"/>
    <mergeCell ref="DX8:HD8"/>
    <mergeCell ref="E1:I9"/>
    <mergeCell ref="AC1:HN1"/>
    <mergeCell ref="AC2:HN2"/>
    <mergeCell ref="AC3:HN3"/>
    <mergeCell ref="BD4:CE4"/>
    <mergeCell ref="AM9:DS9"/>
    <mergeCell ref="DX9:HD9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HF13:HN13"/>
    <mergeCell ref="BZ12:CC12"/>
    <mergeCell ref="CD12:CH12"/>
    <mergeCell ref="CI12:DV12"/>
    <mergeCell ref="DW12:DZ12"/>
    <mergeCell ref="EA12:EE12"/>
    <mergeCell ref="EF12:EI12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1:B1"/>
    <mergeCell ref="C1:D1"/>
    <mergeCell ref="BR5:CS5"/>
    <mergeCell ref="CT5:DU5"/>
    <mergeCell ref="DV5:EW5"/>
    <mergeCell ref="EX5:FY5"/>
    <mergeCell ref="BR6:CS6"/>
    <mergeCell ref="CT6:DU6"/>
    <mergeCell ref="DV6:EW6"/>
    <mergeCell ref="EX6:FY6"/>
    <mergeCell ref="FL4:GM4"/>
    <mergeCell ref="CF4:FK4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  <pageSetUpPr fitToPage="1"/>
  </sheetPr>
  <dimension ref="A1:IU102"/>
  <sheetViews>
    <sheetView topLeftCell="E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«Спортшкола» г. Ялта</v>
      </c>
      <c r="B1" s="576"/>
      <c r="C1" s="577" t="str">
        <f>IF(D11="","",VLOOKUP(D11,Список!B:O,12,FALSE))</f>
        <v>«Аэропорт - СШ №3» г.Симферополь</v>
      </c>
      <c r="D1" s="578"/>
      <c r="E1" s="579">
        <v>6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71</v>
      </c>
      <c r="B2" s="13" t="str">
        <f>IF(A2="","",VLOOKUP(A2,Список!E:O,2,FALSE))</f>
        <v xml:space="preserve"> Маслий Дмитрий Владимирович</v>
      </c>
      <c r="C2" s="14">
        <f>IF($B$11="","",$D$11*10+1)</f>
        <v>21</v>
      </c>
      <c r="D2" s="15" t="str">
        <f>IF(C2="","",VLOOKUP(C2,Список!E:O,2,FALSE))</f>
        <v xml:space="preserve"> Павлина Сергей Станиславович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72</v>
      </c>
      <c r="B3" s="13" t="str">
        <f>IF(A3="","",VLOOKUP(A3,Список!E:O,2,FALSE))</f>
        <v xml:space="preserve"> Худенко Александр Сергеевич</v>
      </c>
      <c r="C3" s="14">
        <f>IF($B$11="","",$D$11*10+2)</f>
        <v>22</v>
      </c>
      <c r="D3" s="15" t="str">
        <f>IF(C3="","",VLOOKUP(C3,Список!E:O,2,FALSE))</f>
        <v xml:space="preserve"> Банников Юрий Владимирович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73</v>
      </c>
      <c r="B4" s="13" t="str">
        <f>IF(A4="","",VLOOKUP(A4,Список!E:O,2,FALSE))</f>
        <v xml:space="preserve"> Размысловский Павел Алексеевич</v>
      </c>
      <c r="C4" s="14">
        <f>IF($B$11="","",$D$11*10+3)</f>
        <v>23</v>
      </c>
      <c r="D4" s="15" t="str">
        <f>IF(C4="","",VLOOKUP(C4,Список!E:O,2,FALSE))</f>
        <v xml:space="preserve"> Лодыгин Владимир Вадимович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74</v>
      </c>
      <c r="B5" s="13" t="str">
        <f>IF(A5="","",VLOOKUP(A5,Список!E:O,2,FALSE))</f>
        <v xml:space="preserve"> Иванов Константин Николаевич</v>
      </c>
      <c r="C5" s="14">
        <f>IF($B$11="","",$D$11*10+4)</f>
        <v>24</v>
      </c>
      <c r="D5" s="15" t="str">
        <f>IF(C5="","",VLOOKUP(C5,Список!E:O,2,FALSE))</f>
        <v xml:space="preserve"> Соловей Юрий Анатольевич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75</v>
      </c>
      <c r="B6" s="13" t="str">
        <f>IF(A6="","",VLOOKUP(A6,Список!E:O,2,FALSE))</f>
        <v xml:space="preserve"> Поляков Дмитрий Игоревич</v>
      </c>
      <c r="C6" s="14">
        <f>IF($B$11="","",$D$11*10+5)</f>
        <v>25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76</v>
      </c>
      <c r="B7" s="13" t="str">
        <f>IF(A7="","",VLOOKUP(A7,Список!E:O,2,FALSE))</f>
        <v xml:space="preserve"> Гузенко Глеб Русланович</v>
      </c>
      <c r="C7" s="14">
        <f>IF($B$11="","",$D$11*10+6)</f>
        <v>26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77</v>
      </c>
      <c r="B8" s="13" t="str">
        <f>IF(A8="","",VLOOKUP(A8,Список!E:O,2,FALSE))</f>
        <v>-</v>
      </c>
      <c r="C8" s="14">
        <f>IF($B$11="","",$D$11*10+7)</f>
        <v>27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«Спортшкола» г. 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«Аэропорт - СШ №3»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78</v>
      </c>
      <c r="B9" s="13" t="str">
        <f>IF(A9="","",VLOOKUP(A9,Список!E:O,2,FALSE))</f>
        <v>-</v>
      </c>
      <c r="C9" s="14">
        <f>IF($B$11="","",$D$11*10+8)</f>
        <v>28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7</v>
      </c>
      <c r="C11" s="27" t="s">
        <v>18</v>
      </c>
      <c r="D11" s="29">
        <f>IF(B11="","",IF(B11=A13,C13,IF(B11=C13,A13,)))</f>
        <v>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«Спортшкола» г. Ялта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«Аэропорт - СШ №3»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70</v>
      </c>
      <c r="D12" s="25">
        <f>IF(B11="","",D11*10)</f>
        <v>20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7</v>
      </c>
      <c r="B13" s="566"/>
      <c r="C13" s="565">
        <f>IF($E$1="","",VLOOKUP($E$1,'Общее расписание'!$B:$V,3,FALSE))</f>
        <v>2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Прима В.А.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Банников Ю.В.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2, встреча 6, 7 - 2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6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72</v>
      </c>
      <c r="C16" s="41" t="s">
        <v>35</v>
      </c>
      <c r="D16" s="40">
        <v>22</v>
      </c>
      <c r="E16" s="42" t="s">
        <v>157</v>
      </c>
      <c r="F16" s="42" t="s">
        <v>166</v>
      </c>
      <c r="G16" s="42" t="s">
        <v>176</v>
      </c>
      <c r="H16" s="42"/>
      <c r="I16" s="42"/>
      <c r="J16" s="43">
        <f>IF(E16="","",IF(E16="0",1000,IF(E16="-0",-1000,E16*1)))</f>
        <v>9</v>
      </c>
      <c r="K16" s="43">
        <f>IF(F16="","",IF(F16="0",1000,IF(F16="-0",-1000,F16*1)))</f>
        <v>8</v>
      </c>
      <c r="L16" s="43">
        <f>IF(G16="","",IF(G16="0",1000,IF(G16="-0",-1000,G16*1)))</f>
        <v>10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Худенко Александр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Банников Юрий Владимирович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9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8</v>
      </c>
      <c r="FF16" s="320"/>
      <c r="FG16" s="320"/>
      <c r="FH16" s="321"/>
      <c r="FI16" s="322">
        <f>IF(G16="","",IF(L16&gt;9,HY16,HW16))</f>
        <v>12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10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 t="str">
        <f>IF(E16="","",IF(J16=1000,11,IF(J16=-1000,0,IF(J16&lt;9,11,IF(J16&gt;9,(J16+2),"0")))))</f>
        <v>0</v>
      </c>
      <c r="HR16" s="52">
        <f>IF(E16="","",IF(J16=1000,0,IF(J16=-1000,11,IF(J16&lt;0,11,IF(J16&gt;0,(J16),"0")))))</f>
        <v>9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8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12</v>
      </c>
      <c r="HZ16" s="52">
        <f>IF(G16="","",IF(L16=1000,0,IF(L16=-1000,11,IF(L16&lt;0,11,IF(L16&gt;0,(L16),"0")))))</f>
        <v>10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12</v>
      </c>
      <c r="IL16" s="56" t="str">
        <f>IF(H16="","",FS16*1)</f>
        <v/>
      </c>
      <c r="IM16" s="56" t="str">
        <f>IF(I16="","",GC16*1)</f>
        <v/>
      </c>
      <c r="IN16" s="57">
        <f>IF(E16="","",EU16*1)</f>
        <v>9</v>
      </c>
      <c r="IO16" s="57">
        <f>IF(F16="","",FE16*1)</f>
        <v>8</v>
      </c>
      <c r="IP16" s="57">
        <f>IF(G16="","",FO16*1)</f>
        <v>10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34</v>
      </c>
      <c r="IT16" s="58">
        <f>IF(E16="","",SUM(IN16:IR16))</f>
        <v>27</v>
      </c>
    </row>
    <row r="17" spans="1:254" ht="30" customHeight="1" x14ac:dyDescent="0.35">
      <c r="A17" s="39" t="s">
        <v>18</v>
      </c>
      <c r="B17" s="40">
        <v>74</v>
      </c>
      <c r="C17" s="41" t="s">
        <v>34</v>
      </c>
      <c r="D17" s="40">
        <v>23</v>
      </c>
      <c r="E17" s="42" t="s">
        <v>156</v>
      </c>
      <c r="F17" s="42" t="s">
        <v>172</v>
      </c>
      <c r="G17" s="42" t="s">
        <v>172</v>
      </c>
      <c r="H17" s="42"/>
      <c r="I17" s="42"/>
      <c r="J17" s="43">
        <f t="shared" ref="J17:N20" si="2">IF(E17="","",IF(E17="0",1000,IF(E17="-0",-1000,E17*1)))</f>
        <v>-9</v>
      </c>
      <c r="K17" s="43">
        <f t="shared" si="2"/>
        <v>-5</v>
      </c>
      <c r="L17" s="43">
        <f t="shared" si="2"/>
        <v>-5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Иванов Константин Николаевич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Лодыгин Владимир Вадимович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9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5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5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9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5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5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9</v>
      </c>
      <c r="IJ17" s="56">
        <f>IF(F17="","",EY17*1)</f>
        <v>5</v>
      </c>
      <c r="IK17" s="56">
        <f>IF(G17="","",FI17*1)</f>
        <v>5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19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24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Соловей Юрий Анатольевич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72</v>
      </c>
      <c r="C19" s="41" t="s">
        <v>34</v>
      </c>
      <c r="D19" s="59">
        <f>IF(D17=0,"",D17)</f>
        <v>23</v>
      </c>
      <c r="E19" s="42" t="s">
        <v>157</v>
      </c>
      <c r="F19" s="42" t="s">
        <v>161</v>
      </c>
      <c r="G19" s="42" t="s">
        <v>156</v>
      </c>
      <c r="H19" s="42" t="s">
        <v>153</v>
      </c>
      <c r="I19" s="42"/>
      <c r="J19" s="43">
        <f t="shared" si="2"/>
        <v>9</v>
      </c>
      <c r="K19" s="43">
        <f t="shared" si="2"/>
        <v>4</v>
      </c>
      <c r="L19" s="43">
        <f t="shared" si="2"/>
        <v>-9</v>
      </c>
      <c r="M19" s="43">
        <f t="shared" si="2"/>
        <v>7</v>
      </c>
      <c r="N19" s="43" t="str">
        <f t="shared" si="2"/>
        <v/>
      </c>
      <c r="O19" s="44">
        <f>IF(J19="","",IF(J19&gt;0,1,0))</f>
        <v>1</v>
      </c>
      <c r="P19" s="44">
        <f t="shared" si="0"/>
        <v>1</v>
      </c>
      <c r="Q19" s="44">
        <f t="shared" si="0"/>
        <v>0</v>
      </c>
      <c r="R19" s="44">
        <f t="shared" si="0"/>
        <v>1</v>
      </c>
      <c r="S19" s="44" t="str">
        <f t="shared" si="0"/>
        <v/>
      </c>
      <c r="T19" s="45">
        <f t="shared" si="1"/>
        <v>0</v>
      </c>
      <c r="U19" s="45">
        <f t="shared" si="1"/>
        <v>0</v>
      </c>
      <c r="V19" s="45">
        <f t="shared" si="1"/>
        <v>1</v>
      </c>
      <c r="W19" s="45">
        <f t="shared" si="1"/>
        <v>0</v>
      </c>
      <c r="X19" s="45" t="str">
        <f t="shared" si="1"/>
        <v/>
      </c>
      <c r="Y19" s="46">
        <f>IF(E19="","",SUM(O19:S19))</f>
        <v>3</v>
      </c>
      <c r="Z19" s="46">
        <f>IF(E19="","",SUM(T19:X19))</f>
        <v>1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Худенко Александр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Лодыгин Владимир Вадимович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11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9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4</v>
      </c>
      <c r="FF19" s="255"/>
      <c r="FG19" s="255"/>
      <c r="FH19" s="256"/>
      <c r="FI19" s="257">
        <f>IF(G19="","",IF(L19&gt;9,HY19,HW19))</f>
        <v>9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>
        <f>IF(H19="","",IF(M19&gt;9,IC19,IA19))</f>
        <v>11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7</v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1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 t="str">
        <f>IF(E19="","",IF(J19=1000,11,IF(J19=-1000,0,IF(J19&lt;9,11,IF(J19&gt;9,(J19+2),"0")))))</f>
        <v>0</v>
      </c>
      <c r="HR19" s="52">
        <f>IF(E19="","",IF(J19=1000,0,IF(J19=-1000,11,IF(J19&lt;0,11,IF(J19&gt;0,(J19),"0")))))</f>
        <v>9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4</v>
      </c>
      <c r="HW19" s="49">
        <f>IF(G19="","",IF(L19=1000,11,IF(L19=-1000,0,IF(L19&gt;0,11,IF(L19&lt;0,(-L19),"0")))))</f>
        <v>9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>
        <f>IF(H19="","",IF(M19=1000,11,IF(M19=-1000,0,IF(M19&gt;0,11,IF(M19&lt;0,(-M19),"0")))))</f>
        <v>11</v>
      </c>
      <c r="IB19" s="53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7</v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11</v>
      </c>
      <c r="IJ19" s="56">
        <f>IF(F19="","",EY19*1)</f>
        <v>11</v>
      </c>
      <c r="IK19" s="56">
        <f>IF(G19="","",FI19*1)</f>
        <v>9</v>
      </c>
      <c r="IL19" s="56">
        <f>IF(H19="","",FS19*1)</f>
        <v>11</v>
      </c>
      <c r="IM19" s="56" t="str">
        <f>IF(I19="","",GC19*1)</f>
        <v/>
      </c>
      <c r="IN19" s="57">
        <f>IF(E19="","",EU19*1)</f>
        <v>9</v>
      </c>
      <c r="IO19" s="57">
        <f>IF(F19="","",FE19*1)</f>
        <v>4</v>
      </c>
      <c r="IP19" s="57">
        <f>IF(G19="","",FO19*1)</f>
        <v>11</v>
      </c>
      <c r="IQ19" s="57">
        <f>IF(H19="","",FY19*1)</f>
        <v>7</v>
      </c>
      <c r="IR19" s="57" t="str">
        <f>IF(I19="","",GI19*1)</f>
        <v/>
      </c>
      <c r="IS19" s="58">
        <f>IF(E19="","",SUM(II19:IM19))</f>
        <v>42</v>
      </c>
      <c r="IT19" s="58">
        <f>IF(E19="","",SUM(IN19:IR19))</f>
        <v>31</v>
      </c>
    </row>
    <row r="20" spans="1:254" ht="30" customHeight="1" thickBot="1" x14ac:dyDescent="0.4">
      <c r="A20" s="39" t="s">
        <v>18</v>
      </c>
      <c r="B20" s="59">
        <f>IF(B17=0,"",B17)</f>
        <v>74</v>
      </c>
      <c r="C20" s="41" t="s">
        <v>35</v>
      </c>
      <c r="D20" s="59">
        <f>IF(D16=0,"",D16)</f>
        <v>22</v>
      </c>
      <c r="E20" s="42" t="s">
        <v>173</v>
      </c>
      <c r="F20" s="42" t="s">
        <v>155</v>
      </c>
      <c r="G20" s="42" t="s">
        <v>176</v>
      </c>
      <c r="H20" s="42" t="s">
        <v>173</v>
      </c>
      <c r="I20" s="42" t="s">
        <v>177</v>
      </c>
      <c r="J20" s="43">
        <f t="shared" si="2"/>
        <v>-4</v>
      </c>
      <c r="K20" s="43">
        <f t="shared" si="2"/>
        <v>5</v>
      </c>
      <c r="L20" s="43">
        <f t="shared" si="2"/>
        <v>10</v>
      </c>
      <c r="M20" s="43">
        <f t="shared" si="2"/>
        <v>-4</v>
      </c>
      <c r="N20" s="43">
        <f t="shared" si="2"/>
        <v>12</v>
      </c>
      <c r="O20" s="44">
        <f>IF(J20="","",IF(J20&gt;0,1,0))</f>
        <v>0</v>
      </c>
      <c r="P20" s="44">
        <f t="shared" si="0"/>
        <v>1</v>
      </c>
      <c r="Q20" s="44">
        <f t="shared" si="0"/>
        <v>1</v>
      </c>
      <c r="R20" s="44">
        <f t="shared" si="0"/>
        <v>0</v>
      </c>
      <c r="S20" s="44">
        <f t="shared" si="0"/>
        <v>1</v>
      </c>
      <c r="T20" s="45">
        <f t="shared" si="1"/>
        <v>1</v>
      </c>
      <c r="U20" s="45">
        <f t="shared" si="1"/>
        <v>0</v>
      </c>
      <c r="V20" s="45">
        <f t="shared" si="1"/>
        <v>0</v>
      </c>
      <c r="W20" s="45">
        <f t="shared" si="1"/>
        <v>1</v>
      </c>
      <c r="X20" s="45">
        <f t="shared" si="1"/>
        <v>0</v>
      </c>
      <c r="Y20" s="46">
        <f>IF(E20="","",SUM(O20:S20))</f>
        <v>3</v>
      </c>
      <c r="Z20" s="46">
        <f>IF(E20="","",SUM(T20:X20))</f>
        <v>2</v>
      </c>
      <c r="AA20" s="47">
        <f>IF(E20="","",IF(Y20&gt;Z20,1,0))</f>
        <v>1</v>
      </c>
      <c r="AB20" s="48">
        <f>IF(E20="","",IF(Y20&lt;Z20,1,0))</f>
        <v>0</v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Иванов Константин Николаевич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Банников Юрий Владимирович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>
        <f>IF(E20="","",IF(J20&gt;9,HQ20,HO20))</f>
        <v>4</v>
      </c>
      <c r="EP20" s="233"/>
      <c r="EQ20" s="233"/>
      <c r="ER20" s="233"/>
      <c r="ES20" s="245" t="str">
        <f>IF(EO20="","","-")</f>
        <v>-</v>
      </c>
      <c r="ET20" s="245"/>
      <c r="EU20" s="233">
        <f>IF(E20="","",IF(J20&lt;-9,HP20,HR20))</f>
        <v>11</v>
      </c>
      <c r="EV20" s="233"/>
      <c r="EW20" s="233"/>
      <c r="EX20" s="243"/>
      <c r="EY20" s="232">
        <f>IF(F20="","",IF(K20&gt;9,HU20,HS20))</f>
        <v>11</v>
      </c>
      <c r="EZ20" s="233"/>
      <c r="FA20" s="233"/>
      <c r="FB20" s="233"/>
      <c r="FC20" s="234" t="str">
        <f>IF(EY20="","","-")</f>
        <v>-</v>
      </c>
      <c r="FD20" s="234"/>
      <c r="FE20" s="233">
        <f>IF(F20="","",IF(K20&lt;-9,HT20,HV20))</f>
        <v>5</v>
      </c>
      <c r="FF20" s="233"/>
      <c r="FG20" s="233"/>
      <c r="FH20" s="243"/>
      <c r="FI20" s="232">
        <f>IF(G20="","",IF(L20&gt;9,HY20,HW20))</f>
        <v>12</v>
      </c>
      <c r="FJ20" s="233"/>
      <c r="FK20" s="233"/>
      <c r="FL20" s="233"/>
      <c r="FM20" s="234" t="str">
        <f>IF(FI20="","","-")</f>
        <v>-</v>
      </c>
      <c r="FN20" s="234"/>
      <c r="FO20" s="233">
        <f>IF(G20="","",IF(L20&lt;-9,HX20,HZ20))</f>
        <v>10</v>
      </c>
      <c r="FP20" s="233"/>
      <c r="FQ20" s="233"/>
      <c r="FR20" s="243"/>
      <c r="FS20" s="232">
        <f>IF(H20="","",IF(M20&gt;9,IC20,IA20))</f>
        <v>4</v>
      </c>
      <c r="FT20" s="233"/>
      <c r="FU20" s="233"/>
      <c r="FV20" s="233"/>
      <c r="FW20" s="234" t="str">
        <f>IF(FS20="","","-")</f>
        <v>-</v>
      </c>
      <c r="FX20" s="234"/>
      <c r="FY20" s="233">
        <f>IF(H20="","",IF(M20&lt;-9,IB20,ID20))</f>
        <v>11</v>
      </c>
      <c r="FZ20" s="233"/>
      <c r="GA20" s="233"/>
      <c r="GB20" s="243"/>
      <c r="GC20" s="232">
        <f>IF(I20="","",IF(N20&gt;9,IG20,IE20))</f>
        <v>14</v>
      </c>
      <c r="GD20" s="233"/>
      <c r="GE20" s="233"/>
      <c r="GF20" s="233"/>
      <c r="GG20" s="234" t="str">
        <f>IF(GC20="","","-")</f>
        <v>-</v>
      </c>
      <c r="GH20" s="234"/>
      <c r="GI20" s="233">
        <f>IF(I20="","",IF(N20&lt;-9,IF20,IH20))</f>
        <v>12</v>
      </c>
      <c r="GJ20" s="233"/>
      <c r="GK20" s="233"/>
      <c r="GL20" s="235"/>
      <c r="GM20" s="236">
        <f>Y20</f>
        <v>3</v>
      </c>
      <c r="GN20" s="237"/>
      <c r="GO20" s="237"/>
      <c r="GP20" s="237"/>
      <c r="GQ20" s="237"/>
      <c r="GR20" s="237"/>
      <c r="GS20" s="238"/>
      <c r="GT20" s="239">
        <f>Z20</f>
        <v>2</v>
      </c>
      <c r="GU20" s="237"/>
      <c r="GV20" s="237"/>
      <c r="GW20" s="237"/>
      <c r="GX20" s="237"/>
      <c r="GY20" s="237"/>
      <c r="GZ20" s="240"/>
      <c r="HA20" s="241">
        <f>AA20</f>
        <v>1</v>
      </c>
      <c r="HB20" s="217"/>
      <c r="HC20" s="217"/>
      <c r="HD20" s="217"/>
      <c r="HE20" s="217"/>
      <c r="HF20" s="217"/>
      <c r="HG20" s="242"/>
      <c r="HH20" s="216">
        <f>AB20</f>
        <v>0</v>
      </c>
      <c r="HI20" s="217"/>
      <c r="HJ20" s="217"/>
      <c r="HK20" s="217"/>
      <c r="HL20" s="217"/>
      <c r="HM20" s="217"/>
      <c r="HN20" s="218"/>
      <c r="HO20" s="49">
        <f>IF(E20="","",IF(J20=1000,11,IF(J20=-1000,0,IF(J20&gt;0,11,IF(J20&lt;0,(-J20),"0")))))</f>
        <v>4</v>
      </c>
      <c r="HP20" s="50" t="str">
        <f>IF(E20="","",IF(J20=1000,0,IF(J20=-1000,11,IF(J20&lt;-9,-(J20-2),IF(J20&gt;0,(GU20),"0")))))</f>
        <v>0</v>
      </c>
      <c r="HQ20" s="51">
        <f>IF(E20="","",IF(J20=1000,11,IF(J20=-1000,0,IF(J20&lt;9,11,IF(J20&gt;9,(J20+2),"0")))))</f>
        <v>11</v>
      </c>
      <c r="HR20" s="52">
        <f>IF(E20="","",IF(J20=1000,0,IF(J20=-1000,11,IF(J20&lt;0,11,IF(J20&gt;0,(J20),"0")))))</f>
        <v>11</v>
      </c>
      <c r="HS20" s="53">
        <f>IF(F20="","",IF(K20=1000,11,IF(K20=-1000,0,IF(K20&gt;0,11,IF(K20&lt;0,(-K20),"0")))))</f>
        <v>11</v>
      </c>
      <c r="HT20" s="53">
        <f>IF(F20="","",IF(K20=1000,0,IF(K20=-1000,11,IF(K20&lt;-9,-(K20-2),IF(K20&gt;0,(GV20),"0")))))</f>
        <v>0</v>
      </c>
      <c r="HU20" s="54">
        <f>IF(F20="","",IF(K20=1000,11,IF(K20=-1000,0,IF(K20&lt;9,11,IF(K20&gt;9,(K20+2),"0")))))</f>
        <v>11</v>
      </c>
      <c r="HV20" s="54">
        <f>IF(F20="","",IF(K20=1000,0,IF(K20=-1000,11,IF(K20&lt;0,11,IF(K20&gt;0,(K20),"0")))))</f>
        <v>5</v>
      </c>
      <c r="HW20" s="49">
        <f>IF(G20="","",IF(L20=1000,11,IF(L20=-1000,0,IF(L20&gt;0,11,IF(L20&lt;0,(-L20),"0")))))</f>
        <v>11</v>
      </c>
      <c r="HX20" s="50">
        <f>IF(G20="","",IF(L20=1000,0,IF(L20=-1000,11,IF(L20&lt;-9,-(L20-2),IF(L20&gt;0,(GW20),"0")))))</f>
        <v>0</v>
      </c>
      <c r="HY20" s="51">
        <f>IF(G20="","",IF(L20=1000,11,IF(L20=-1000,0,IF(L20&lt;9,11,IF(L20&gt;9,(L20+2),"0")))))</f>
        <v>12</v>
      </c>
      <c r="HZ20" s="52">
        <f>IF(G20="","",IF(L20=1000,0,IF(L20=-1000,11,IF(L20&lt;0,11,IF(L20&gt;0,(L20),"0")))))</f>
        <v>10</v>
      </c>
      <c r="IA20" s="53">
        <f>IF(H20="","",IF(M20=1000,11,IF(M20=-1000,0,IF(M20&gt;0,11,IF(M20&lt;0,(-M20),"0")))))</f>
        <v>4</v>
      </c>
      <c r="IB20" s="53" t="str">
        <f>IF(H20="","",IF(G20="","",IF(M20=1000,0,IF(M20=-1000,11,IF(M20&lt;-9,-(M20-2),IF(M20&gt;0,(GX20),"0"))))))</f>
        <v>0</v>
      </c>
      <c r="IC20" s="54">
        <f>IF(H20="","",IF(M20=1000,11,IF(M20=-1000,0,IF(M20&lt;9,11,IF(M20&gt;9,(M20+2),"0")))))</f>
        <v>11</v>
      </c>
      <c r="ID20" s="54">
        <f>IF(H20="","",IF(M20=1000,0,IF(M20=-1000,11,IF(M20&lt;0,11,IF(M20&gt;0,(M20),"0")))))</f>
        <v>11</v>
      </c>
      <c r="IE20" s="49">
        <f>IF(I20="","",IF(N20=1000,11,IF(N20=-1000,0,IF(N20&gt;0,11,IF(N20&lt;0,(-N20),"0")))))</f>
        <v>11</v>
      </c>
      <c r="IF20" s="50">
        <f>IF(I20="","",IF(N20=1000,0,IF(N20=-1000,11,IF(N20&lt;-9,-(N20-2),IF(N20&gt;0,(GY20),"0")))))</f>
        <v>0</v>
      </c>
      <c r="IG20" s="51">
        <f>IF(I20="","",IF(N20=1000,11,IF(N20=-1000,0,IF(N20&lt;9,11,IF(N20&gt;9,(N20+2),"0")))))</f>
        <v>14</v>
      </c>
      <c r="IH20" s="55">
        <f>IF(I20="","",IF(N20=1000,0,IF(N20=-1000,11,IF(N20&lt;0,11,IF(N20&gt;0,(N20),"0")))))</f>
        <v>12</v>
      </c>
      <c r="II20" s="56">
        <f>IF(E20="","",EO20*1)</f>
        <v>4</v>
      </c>
      <c r="IJ20" s="56">
        <f>IF(F20="","",EY20*1)</f>
        <v>11</v>
      </c>
      <c r="IK20" s="56">
        <f>IF(G20="","",FI20*1)</f>
        <v>12</v>
      </c>
      <c r="IL20" s="56">
        <f>IF(H20="","",FS20*1)</f>
        <v>4</v>
      </c>
      <c r="IM20" s="56">
        <f>IF(I20="","",GC20*1)</f>
        <v>14</v>
      </c>
      <c r="IN20" s="57">
        <f>IF(E20="","",EU20*1)</f>
        <v>11</v>
      </c>
      <c r="IO20" s="57">
        <f>IF(F20="","",FE20*1)</f>
        <v>5</v>
      </c>
      <c r="IP20" s="57">
        <f>IF(G20="","",FO20*1)</f>
        <v>10</v>
      </c>
      <c r="IQ20" s="57">
        <f>IF(H20="","",FY20*1)</f>
        <v>11</v>
      </c>
      <c r="IR20" s="57">
        <f>IF(I20="","",GI20*1)</f>
        <v>12</v>
      </c>
      <c r="IS20" s="58">
        <f>IF(E20="","",SUM(II20:IM20))</f>
        <v>45</v>
      </c>
      <c r="IT20" s="58">
        <f>IF(E20="","",SUM(IN20:IR20))</f>
        <v>49</v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7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«Спортшкола» г. Ялта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2</v>
      </c>
      <c r="HI21" s="228"/>
      <c r="HJ21" s="228"/>
      <c r="HK21" s="228"/>
      <c r="HL21" s="228"/>
      <c r="HM21" s="228"/>
      <c r="HN21" s="231"/>
      <c r="IS21" s="64">
        <f>IF(E16="","",SUM(IS16:IS20))</f>
        <v>140</v>
      </c>
      <c r="IT21" s="65">
        <f>IF(E16="","",SUM(IT16:IT20))</f>
        <v>173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6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«Спортшкола» г. Ялта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«Аэропорт - СШ №3»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72</v>
      </c>
      <c r="F57" s="481"/>
      <c r="G57" s="9"/>
      <c r="H57" s="480">
        <f>C2</f>
        <v>21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109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73</v>
      </c>
      <c r="F58" s="481"/>
      <c r="G58" s="9"/>
      <c r="H58" s="480">
        <f>C4</f>
        <v>23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107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76</v>
      </c>
      <c r="F59" s="481"/>
      <c r="G59" s="9"/>
      <c r="H59" s="480">
        <f>C7</f>
        <v>26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77</v>
      </c>
      <c r="F60" s="481"/>
      <c r="G60" s="9"/>
      <c r="H60" s="480">
        <f>C8</f>
        <v>27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78</v>
      </c>
      <c r="F61" s="481"/>
      <c r="G61" s="9"/>
      <c r="H61" s="480">
        <f>C9</f>
        <v>28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79</v>
      </c>
      <c r="F62" s="481"/>
      <c r="G62" s="9"/>
      <c r="H62" s="480">
        <f>1+H61</f>
        <v>29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80</v>
      </c>
      <c r="F63" s="481"/>
      <c r="G63" s="9"/>
      <c r="H63" s="480">
        <f>1+H62</f>
        <v>30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81</v>
      </c>
      <c r="F64" s="481"/>
      <c r="G64" s="9"/>
      <c r="H64" s="480">
        <f>1+H63</f>
        <v>31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82</v>
      </c>
      <c r="F65" s="481"/>
      <c r="G65" s="9"/>
      <c r="H65" s="480">
        <f>1+H64</f>
        <v>32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83</v>
      </c>
      <c r="F66" s="481"/>
      <c r="G66" s="9"/>
      <c r="H66" s="480">
        <f>1+H65</f>
        <v>33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  <pageSetUpPr fitToPage="1"/>
  </sheetPr>
  <dimension ref="A1:IU102"/>
  <sheetViews>
    <sheetView zoomScale="55" zoomScaleNormal="55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«АРСЕНАЛ-С» г.Севастополь</v>
      </c>
      <c r="B1" s="576"/>
      <c r="C1" s="577" t="str">
        <f>IF(D11="","",VLOOKUP(D11,Список!B:O,12,FALSE))</f>
        <v>«Интер»  г.Евпатория</v>
      </c>
      <c r="D1" s="578"/>
      <c r="E1" s="579">
        <v>7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61</v>
      </c>
      <c r="B2" s="13" t="str">
        <f>IF(A2="","",VLOOKUP(A2,Список!E:O,2,FALSE))</f>
        <v xml:space="preserve"> Перфильев Алексей Алексеевич</v>
      </c>
      <c r="C2" s="14">
        <f>IF($B$11="","",$D$11*10+1)</f>
        <v>31</v>
      </c>
      <c r="D2" s="15" t="str">
        <f>IF(C2="","",VLOOKUP(C2,Список!E:O,2,FALSE))</f>
        <v xml:space="preserve"> Сорбало Владислав Федорович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62</v>
      </c>
      <c r="B3" s="13" t="str">
        <f>IF(A3="","",VLOOKUP(A3,Список!E:O,2,FALSE))</f>
        <v xml:space="preserve"> Чернокнижников Александр Максимович</v>
      </c>
      <c r="C3" s="14">
        <f>IF($B$11="","",$D$11*10+2)</f>
        <v>32</v>
      </c>
      <c r="D3" s="15" t="str">
        <f>IF(C3="","",VLOOKUP(C3,Список!E:O,2,FALSE))</f>
        <v xml:space="preserve"> Каулик Алексей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63</v>
      </c>
      <c r="B4" s="13" t="str">
        <f>IF(A4="","",VLOOKUP(A4,Список!E:O,2,FALSE))</f>
        <v xml:space="preserve"> Шило Алексей Вячеславович</v>
      </c>
      <c r="C4" s="14">
        <f>IF($B$11="","",$D$11*10+3)</f>
        <v>33</v>
      </c>
      <c r="D4" s="15" t="str">
        <f>IF(C4="","",VLOOKUP(C4,Список!E:O,2,FALSE))</f>
        <v xml:space="preserve"> Скрипин Василий Иванович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64</v>
      </c>
      <c r="B5" s="13" t="str">
        <f>IF(A5="","",VLOOKUP(A5,Список!E:O,2,FALSE))</f>
        <v xml:space="preserve"> Овчаренко Игорь Викторович</v>
      </c>
      <c r="C5" s="14">
        <f>IF($B$11="","",$D$11*10+4)</f>
        <v>34</v>
      </c>
      <c r="D5" s="15" t="str">
        <f>IF(C5="","",VLOOKUP(C5,Список!E:O,2,FALSE))</f>
        <v xml:space="preserve"> Сыч Станислав Викторович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65</v>
      </c>
      <c r="B6" s="13" t="str">
        <f>IF(A6="","",VLOOKUP(A6,Список!E:O,2,FALSE))</f>
        <v xml:space="preserve"> Королев Роман Сергеевич</v>
      </c>
      <c r="C6" s="14">
        <f>IF($B$11="","",$D$11*10+5)</f>
        <v>35</v>
      </c>
      <c r="D6" s="15" t="str">
        <f>IF(C6="","",VLOOKUP(C6,Список!E:O,2,FALSE))</f>
        <v xml:space="preserve"> Марусич Дмитрий Олегович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66</v>
      </c>
      <c r="B7" s="13" t="str">
        <f>IF(A7="","",VLOOKUP(A7,Список!E:O,2,FALSE))</f>
        <v xml:space="preserve"> Горелкин Анатолий Николаевич</v>
      </c>
      <c r="C7" s="14">
        <f>IF($B$11="","",$D$11*10+6)</f>
        <v>36</v>
      </c>
      <c r="D7" s="15" t="str">
        <f>IF(C7="","",VLOOKUP(C7,Список!E:O,2,FALSE))</f>
        <v xml:space="preserve"> Кафиев Артур Рафаилович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67</v>
      </c>
      <c r="B8" s="13" t="str">
        <f>IF(A8="","",VLOOKUP(A8,Список!E:O,2,FALSE))</f>
        <v xml:space="preserve"> Осипов Владимир Владимирович</v>
      </c>
      <c r="C8" s="14">
        <f>IF($B$11="","",$D$11*10+7)</f>
        <v>37</v>
      </c>
      <c r="D8" s="15" t="str">
        <f>IF(C8="","",VLOOKUP(C8,Список!E:O,2,FALSE))</f>
        <v xml:space="preserve"> Калинин Илья Валерьевич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«АРСЕНАЛ-С» г.Севастополь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«Интер»  г.Евпатория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68</v>
      </c>
      <c r="B9" s="13" t="str">
        <f>IF(A9="","",VLOOKUP(A9,Список!E:O,2,FALSE))</f>
        <v xml:space="preserve"> Митин Павел Вадимович</v>
      </c>
      <c r="C9" s="14">
        <f>IF($B$11="","",$D$11*10+8)</f>
        <v>38</v>
      </c>
      <c r="D9" s="15" t="str">
        <f>IF(C9="","",VLOOKUP(C9,Список!E:O,2,FALSE))</f>
        <v xml:space="preserve"> Скрипин Иван Васильевич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6</v>
      </c>
      <c r="C11" s="27" t="s">
        <v>18</v>
      </c>
      <c r="D11" s="29">
        <f>IF(B11="","",IF(B11=A13,C13,IF(B11=C13,A13,)))</f>
        <v>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«АРСЕНАЛ-С» г.Севастополь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«Интер»  г.Евпатория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60</v>
      </c>
      <c r="D12" s="25">
        <f>IF(B11="","",D11*10)</f>
        <v>30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6</v>
      </c>
      <c r="B13" s="566"/>
      <c r="C13" s="565">
        <f>IF($E$1="","",VLOOKUP($E$1,'Общее расписание'!$B:$V,3,FALSE))</f>
        <v>3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Свистунов А.Н.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Хилик К.А., Скрипин В.И.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2, встреча 7, 6 - 3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7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67</v>
      </c>
      <c r="C16" s="41" t="s">
        <v>35</v>
      </c>
      <c r="D16" s="40">
        <v>32</v>
      </c>
      <c r="E16" s="42" t="s">
        <v>163</v>
      </c>
      <c r="F16" s="42" t="s">
        <v>162</v>
      </c>
      <c r="G16" s="42" t="s">
        <v>174</v>
      </c>
      <c r="H16" s="42"/>
      <c r="I16" s="42"/>
      <c r="J16" s="43">
        <f>IF(E16="","",IF(E16="0",1000,IF(E16="-0",-1000,E16*1)))</f>
        <v>-2</v>
      </c>
      <c r="K16" s="43">
        <f>IF(F16="","",IF(F16="0",1000,IF(F16="-0",-1000,F16*1)))</f>
        <v>-1</v>
      </c>
      <c r="L16" s="43">
        <f>IF(G16="","",IF(G16="0",1000,IF(G16="-0",-1000,G16*1)))</f>
        <v>-3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Осипов Владимир Владимирович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Каулик Алексей Сергеевич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2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3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2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3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2</v>
      </c>
      <c r="IJ16" s="56">
        <f>IF(F16="","",EY16*1)</f>
        <v>1</v>
      </c>
      <c r="IK16" s="56">
        <f>IF(G16="","",FI16*1)</f>
        <v>3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6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66</v>
      </c>
      <c r="C17" s="41" t="s">
        <v>34</v>
      </c>
      <c r="D17" s="40">
        <v>31</v>
      </c>
      <c r="E17" s="42" t="s">
        <v>175</v>
      </c>
      <c r="F17" s="42" t="s">
        <v>174</v>
      </c>
      <c r="G17" s="42" t="s">
        <v>160</v>
      </c>
      <c r="H17" s="42" t="s">
        <v>165</v>
      </c>
      <c r="I17" s="42"/>
      <c r="J17" s="43">
        <f t="shared" ref="J17:N20" si="2">IF(E17="","",IF(E17="0",1000,IF(E17="-0",-1000,E17*1)))</f>
        <v>-10</v>
      </c>
      <c r="K17" s="43">
        <f t="shared" si="2"/>
        <v>-3</v>
      </c>
      <c r="L17" s="43">
        <f t="shared" si="2"/>
        <v>3</v>
      </c>
      <c r="M17" s="43">
        <f t="shared" si="2"/>
        <v>-11</v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1</v>
      </c>
      <c r="R17" s="44">
        <f t="shared" si="0"/>
        <v>0</v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0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Горелкин Анатолий Николаевич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Сорбало Владислав Федорович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10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12</v>
      </c>
      <c r="EV17" s="255"/>
      <c r="EW17" s="255"/>
      <c r="EX17" s="256"/>
      <c r="EY17" s="257">
        <f>IF(F17="","",IF(K17&gt;9,HU17,HS17))</f>
        <v>3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3</v>
      </c>
      <c r="FP17" s="255"/>
      <c r="FQ17" s="255"/>
      <c r="FR17" s="256"/>
      <c r="FS17" s="257">
        <f>IF(H17="","",IF(M17&gt;9,IC17,IA17))</f>
        <v>11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13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10</v>
      </c>
      <c r="HP17" s="50">
        <f>IF(E17="","",IF(J17=1000,0,IF(J17=-1000,11,IF(J17&lt;-9,-(J17-2),IF(J17&gt;0,(GU17),"0")))))</f>
        <v>12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3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3</v>
      </c>
      <c r="IA17" s="53">
        <f>IF(H17="","",IF(M17=1000,11,IF(M17=-1000,0,IF(M17&gt;0,11,IF(M17&lt;0,(-M17),"0")))))</f>
        <v>11</v>
      </c>
      <c r="IB17" s="53">
        <f>IF(H17="","",IF(G17="","",IF(M17=1000,0,IF(M17=-1000,11,IF(M17&lt;-9,-(M17-2),IF(M17&gt;0,(GX17),"0"))))))</f>
        <v>13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10</v>
      </c>
      <c r="IJ17" s="56">
        <f>IF(F17="","",EY17*1)</f>
        <v>3</v>
      </c>
      <c r="IK17" s="56">
        <f>IF(G17="","",FI17*1)</f>
        <v>11</v>
      </c>
      <c r="IL17" s="56">
        <f>IF(H17="","",FS17*1)</f>
        <v>11</v>
      </c>
      <c r="IM17" s="56" t="str">
        <f>IF(I17="","",GC17*1)</f>
        <v/>
      </c>
      <c r="IN17" s="57">
        <f>IF(E17="","",EU17*1)</f>
        <v>12</v>
      </c>
      <c r="IO17" s="57">
        <f>IF(F17="","",FE17*1)</f>
        <v>11</v>
      </c>
      <c r="IP17" s="57">
        <f>IF(G17="","",FO17*1)</f>
        <v>3</v>
      </c>
      <c r="IQ17" s="57">
        <f>IF(H17="","",FY17*1)</f>
        <v>13</v>
      </c>
      <c r="IR17" s="57" t="str">
        <f>IF(I17="","",GI17*1)</f>
        <v/>
      </c>
      <c r="IS17" s="58">
        <f>IF(E17="","",SUM(II17:IM17))</f>
        <v>35</v>
      </c>
      <c r="IT17" s="58">
        <f>IF(E17="","",SUM(IN17:IR17))</f>
        <v>39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36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Кафиев Артур Рафаилович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67</v>
      </c>
      <c r="C19" s="41" t="s">
        <v>34</v>
      </c>
      <c r="D19" s="59">
        <f>IF(D17=0,"",D17)</f>
        <v>31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Осипов Владимир Владимирович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Сорбало Владислав Федорович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66</v>
      </c>
      <c r="C20" s="41" t="s">
        <v>35</v>
      </c>
      <c r="D20" s="59">
        <f>IF(D16=0,"",D16)</f>
        <v>32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Горелкин Анатолий Николаевич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Каулик Алексей Сергеевич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3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«Интер»  г.Евпатория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41</v>
      </c>
      <c r="IT21" s="65">
        <f>IF(E16="","",SUM(IT16:IT20))</f>
        <v>105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7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«АРСЕНАЛ-С» г.Севастополь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«Интер»  г.Евпатория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62</v>
      </c>
      <c r="F57" s="481"/>
      <c r="G57" s="9"/>
      <c r="H57" s="480">
        <f>C2</f>
        <v>31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109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63</v>
      </c>
      <c r="F58" s="481"/>
      <c r="G58" s="9"/>
      <c r="H58" s="480">
        <f>C4</f>
        <v>33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107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66</v>
      </c>
      <c r="F59" s="481"/>
      <c r="G59" s="9"/>
      <c r="H59" s="480">
        <f>C7</f>
        <v>36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67</v>
      </c>
      <c r="F60" s="481"/>
      <c r="G60" s="9"/>
      <c r="H60" s="480">
        <f>C8</f>
        <v>37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68</v>
      </c>
      <c r="F61" s="481"/>
      <c r="G61" s="9"/>
      <c r="H61" s="480">
        <f>C9</f>
        <v>38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69</v>
      </c>
      <c r="F62" s="481"/>
      <c r="G62" s="9"/>
      <c r="H62" s="480">
        <f>1+H61</f>
        <v>39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70</v>
      </c>
      <c r="F63" s="481"/>
      <c r="G63" s="9"/>
      <c r="H63" s="480">
        <f>1+H62</f>
        <v>40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71</v>
      </c>
      <c r="F64" s="481"/>
      <c r="G64" s="9"/>
      <c r="H64" s="480">
        <f>1+H63</f>
        <v>41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72</v>
      </c>
      <c r="F65" s="481"/>
      <c r="G65" s="9"/>
      <c r="H65" s="480">
        <f>1+H64</f>
        <v>42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73</v>
      </c>
      <c r="F66" s="481"/>
      <c r="G66" s="9"/>
      <c r="H66" s="480">
        <f>1+H65</f>
        <v>43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  <pageSetUpPr fitToPage="1"/>
  </sheetPr>
  <dimension ref="A1:IU102"/>
  <sheetViews>
    <sheetView topLeftCell="E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"РУСИЧИ" г.Симферополь</v>
      </c>
      <c r="B1" s="576"/>
      <c r="C1" s="577" t="str">
        <f>IF(D11="","",VLOOKUP(D11,Список!B:O,12,FALSE))</f>
        <v>«СШ №3(1)» г.Симферополь</v>
      </c>
      <c r="D1" s="578"/>
      <c r="E1" s="579">
        <v>8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11</v>
      </c>
      <c r="B2" s="13" t="str">
        <f>IF(A2="","",VLOOKUP(A2,Список!E:O,2,FALSE))</f>
        <v xml:space="preserve"> Кривошеев Вячеслав Александрович</v>
      </c>
      <c r="C2" s="14">
        <f>IF($B$11="","",$D$11*10+1)</f>
        <v>81</v>
      </c>
      <c r="D2" s="15" t="str">
        <f>IF(C2="","",VLOOKUP(C2,Список!E:O,2,FALSE))</f>
        <v xml:space="preserve"> Пыльник Данил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12</v>
      </c>
      <c r="B3" s="13" t="str">
        <f>IF(A3="","",VLOOKUP(A3,Список!E:O,2,FALSE))</f>
        <v xml:space="preserve"> Панченко Артем Иванович</v>
      </c>
      <c r="C3" s="14">
        <f>IF($B$11="","",$D$11*10+2)</f>
        <v>82</v>
      </c>
      <c r="D3" s="15" t="str">
        <f>IF(C3="","",VLOOKUP(C3,Список!E:O,2,FALSE))</f>
        <v xml:space="preserve"> Орбакас Антон Эдуардесович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13</v>
      </c>
      <c r="B4" s="13" t="str">
        <f>IF(A4="","",VLOOKUP(A4,Список!E:O,2,FALSE))</f>
        <v xml:space="preserve"> Исаков Илья Павлович</v>
      </c>
      <c r="C4" s="14">
        <f>IF($B$11="","",$D$11*10+3)</f>
        <v>83</v>
      </c>
      <c r="D4" s="15" t="str">
        <f>IF(C4="","",VLOOKUP(C4,Список!E:O,2,FALSE))</f>
        <v xml:space="preserve"> Лойко Максим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14</v>
      </c>
      <c r="B5" s="13" t="str">
        <f>IF(A5="","",VLOOKUP(A5,Список!E:O,2,FALSE))</f>
        <v xml:space="preserve"> Масовер Андрей Ромазанович</v>
      </c>
      <c r="C5" s="14">
        <f>IF($B$11="","",$D$11*10+4)</f>
        <v>84</v>
      </c>
      <c r="D5" s="15" t="str">
        <f>IF(C5="","",VLOOKUP(C5,Список!E:O,2,FALSE))</f>
        <v>-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15</v>
      </c>
      <c r="B6" s="13" t="str">
        <f>IF(A6="","",VLOOKUP(A6,Список!E:O,2,FALSE))</f>
        <v xml:space="preserve"> Губанов Никита Сергеевич</v>
      </c>
      <c r="C6" s="14">
        <f>IF($B$11="","",$D$11*10+5)</f>
        <v>85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16</v>
      </c>
      <c r="B7" s="13" t="str">
        <f>IF(A7="","",VLOOKUP(A7,Список!E:O,2,FALSE))</f>
        <v xml:space="preserve"> Зайцев Игорь Владимирович</v>
      </c>
      <c r="C7" s="14">
        <f>IF($B$11="","",$D$11*10+6)</f>
        <v>86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17</v>
      </c>
      <c r="B8" s="13" t="str">
        <f>IF(A8="","",VLOOKUP(A8,Список!E:O,2,FALSE))</f>
        <v xml:space="preserve"> Щепетнев Дмитрий Владимирович</v>
      </c>
      <c r="C8" s="14">
        <f>IF($B$11="","",$D$11*10+7)</f>
        <v>87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№3(1)»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"РУСИЧИ"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18</v>
      </c>
      <c r="B9" s="13" t="str">
        <f>IF(A9="","",VLOOKUP(A9,Список!E:O,2,FALSE))</f>
        <v xml:space="preserve"> Панков Леонид Александрович</v>
      </c>
      <c r="C9" s="14">
        <f>IF($B$11="","",$D$11*10+8)</f>
        <v>88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1</v>
      </c>
      <c r="C11" s="27" t="s">
        <v>18</v>
      </c>
      <c r="D11" s="29">
        <f>IF(B11="","",IF(B11=A13,C13,IF(B11=C13,A13,)))</f>
        <v>8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"РУСИЧИ"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№3(1)»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10</v>
      </c>
      <c r="D12" s="25">
        <f>IF(B11="","",D11*10)</f>
        <v>80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8</v>
      </c>
      <c r="B13" s="566"/>
      <c r="C13" s="565">
        <f>IF($E$1="","",VLOOKUP($E$1,'Общее расписание'!$B:$V,3,FALSE))</f>
        <v>1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Панков Л.А.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2, встреча 8, 8 - 1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8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14</v>
      </c>
      <c r="C16" s="41" t="s">
        <v>35</v>
      </c>
      <c r="D16" s="40">
        <v>81</v>
      </c>
      <c r="E16" s="42" t="s">
        <v>155</v>
      </c>
      <c r="F16" s="42" t="s">
        <v>152</v>
      </c>
      <c r="G16" s="42" t="s">
        <v>154</v>
      </c>
      <c r="H16" s="42" t="s">
        <v>160</v>
      </c>
      <c r="I16" s="42"/>
      <c r="J16" s="43">
        <f>IF(E16="","",IF(E16="0",1000,IF(E16="-0",-1000,E16*1)))</f>
        <v>5</v>
      </c>
      <c r="K16" s="43">
        <f>IF(F16="","",IF(F16="0",1000,IF(F16="-0",-1000,F16*1)))</f>
        <v>-7</v>
      </c>
      <c r="L16" s="43">
        <f>IF(G16="","",IF(G16="0",1000,IF(G16="-0",-1000,G16*1)))</f>
        <v>6</v>
      </c>
      <c r="M16" s="43">
        <f>IF(H16="","",IF(H16="0",1000,IF(H16="-0",-1000,H16*1)))</f>
        <v>3</v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0</v>
      </c>
      <c r="Q16" s="44">
        <f t="shared" si="0"/>
        <v>1</v>
      </c>
      <c r="R16" s="44">
        <f t="shared" si="0"/>
        <v>1</v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1</v>
      </c>
      <c r="V16" s="45">
        <f t="shared" si="1"/>
        <v>0</v>
      </c>
      <c r="W16" s="45">
        <f t="shared" si="1"/>
        <v>0</v>
      </c>
      <c r="X16" s="45" t="str">
        <f t="shared" si="1"/>
        <v/>
      </c>
      <c r="Y16" s="46">
        <f>IF(E16="","",SUM(O16:S16))</f>
        <v>3</v>
      </c>
      <c r="Z16" s="46">
        <f>IF(E16="","",SUM(T16:X16))</f>
        <v>1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92" t="str">
        <f>IF(B16="","",VLOOKUP(B16,Список!$E:$O,2,FALSE))</f>
        <v xml:space="preserve"> Масовер Андрей Ромазанович</v>
      </c>
      <c r="AI16" s="593"/>
      <c r="AJ16" s="593"/>
      <c r="AK16" s="593"/>
      <c r="AL16" s="593"/>
      <c r="AM16" s="593"/>
      <c r="AN16" s="593"/>
      <c r="AO16" s="593"/>
      <c r="AP16" s="593"/>
      <c r="AQ16" s="593"/>
      <c r="AR16" s="593"/>
      <c r="AS16" s="593"/>
      <c r="AT16" s="593"/>
      <c r="AU16" s="593"/>
      <c r="AV16" s="593"/>
      <c r="AW16" s="593"/>
      <c r="AX16" s="593"/>
      <c r="AY16" s="593"/>
      <c r="AZ16" s="593"/>
      <c r="BA16" s="593"/>
      <c r="BB16" s="593"/>
      <c r="BC16" s="593"/>
      <c r="BD16" s="593"/>
      <c r="BE16" s="593"/>
      <c r="BF16" s="593"/>
      <c r="BG16" s="593"/>
      <c r="BH16" s="593"/>
      <c r="BI16" s="593"/>
      <c r="BJ16" s="593"/>
      <c r="BK16" s="593"/>
      <c r="BL16" s="593"/>
      <c r="BM16" s="594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Пыльник Данил Александрович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5</v>
      </c>
      <c r="EV16" s="320"/>
      <c r="EW16" s="320"/>
      <c r="EX16" s="321"/>
      <c r="EY16" s="322">
        <f>IF(F16="","",IF(K16&gt;9,HU16,HS16))</f>
        <v>7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6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3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1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5</v>
      </c>
      <c r="HS16" s="53">
        <f>IF(F16="","",IF(K16=1000,11,IF(K16=-1000,0,IF(K16&gt;0,11,IF(K16&lt;0,(-K16),"0")))))</f>
        <v>7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6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3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7</v>
      </c>
      <c r="IK16" s="56">
        <f>IF(G16="","",FI16*1)</f>
        <v>11</v>
      </c>
      <c r="IL16" s="56">
        <f>IF(H16="","",FS16*1)</f>
        <v>11</v>
      </c>
      <c r="IM16" s="56" t="str">
        <f>IF(I16="","",GC16*1)</f>
        <v/>
      </c>
      <c r="IN16" s="57">
        <f>IF(E16="","",EU16*1)</f>
        <v>5</v>
      </c>
      <c r="IO16" s="57">
        <f>IF(F16="","",FE16*1)</f>
        <v>11</v>
      </c>
      <c r="IP16" s="57">
        <f>IF(G16="","",FO16*1)</f>
        <v>6</v>
      </c>
      <c r="IQ16" s="57">
        <f>IF(H16="","",FY16*1)</f>
        <v>3</v>
      </c>
      <c r="IR16" s="57" t="str">
        <f>IF(I16="","",GI16*1)</f>
        <v/>
      </c>
      <c r="IS16" s="58">
        <f>IF(E16="","",SUM(II16:IM16))</f>
        <v>40</v>
      </c>
      <c r="IT16" s="58">
        <f>IF(E16="","",SUM(IN16:IR16))</f>
        <v>25</v>
      </c>
    </row>
    <row r="17" spans="1:254" ht="30" customHeight="1" x14ac:dyDescent="0.35">
      <c r="A17" s="39" t="s">
        <v>18</v>
      </c>
      <c r="B17" s="40">
        <v>17</v>
      </c>
      <c r="C17" s="41" t="s">
        <v>34</v>
      </c>
      <c r="D17" s="40">
        <v>82</v>
      </c>
      <c r="E17" s="42" t="s">
        <v>161</v>
      </c>
      <c r="F17" s="42" t="s">
        <v>166</v>
      </c>
      <c r="G17" s="42" t="s">
        <v>154</v>
      </c>
      <c r="H17" s="42"/>
      <c r="I17" s="42"/>
      <c r="J17" s="43">
        <f t="shared" ref="J17:N20" si="2">IF(E17="","",IF(E17="0",1000,IF(E17="-0",-1000,E17*1)))</f>
        <v>4</v>
      </c>
      <c r="K17" s="43">
        <f t="shared" si="2"/>
        <v>8</v>
      </c>
      <c r="L17" s="43">
        <f t="shared" si="2"/>
        <v>6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Щепетнев Дмитрий Владимирович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Орбакас Антон Эдуардесович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4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8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6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4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8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6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4</v>
      </c>
      <c r="IO17" s="57">
        <f>IF(F17="","",FE17*1)</f>
        <v>8</v>
      </c>
      <c r="IP17" s="57">
        <f>IF(G17="","",FO17*1)</f>
        <v>6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18</v>
      </c>
    </row>
    <row r="18" spans="1:254" ht="30" customHeight="1" x14ac:dyDescent="0.2">
      <c r="A18" s="39" t="s">
        <v>36</v>
      </c>
      <c r="B18" s="40">
        <v>18</v>
      </c>
      <c r="C18" s="41" t="s">
        <v>37</v>
      </c>
      <c r="D18" s="40">
        <v>83</v>
      </c>
      <c r="E18" s="42" t="s">
        <v>161</v>
      </c>
      <c r="F18" s="42" t="s">
        <v>169</v>
      </c>
      <c r="G18" s="42" t="s">
        <v>171</v>
      </c>
      <c r="H18" s="42" t="s">
        <v>154</v>
      </c>
      <c r="I18" s="42" t="s">
        <v>169</v>
      </c>
      <c r="J18" s="43">
        <f t="shared" si="2"/>
        <v>4</v>
      </c>
      <c r="K18" s="43">
        <f t="shared" si="2"/>
        <v>-8</v>
      </c>
      <c r="L18" s="43">
        <f t="shared" si="2"/>
        <v>-6</v>
      </c>
      <c r="M18" s="43">
        <f t="shared" si="2"/>
        <v>6</v>
      </c>
      <c r="N18" s="43">
        <f t="shared" si="2"/>
        <v>-8</v>
      </c>
      <c r="O18" s="44">
        <f>IF(J18="","",IF(J18&gt;0,1,0))</f>
        <v>1</v>
      </c>
      <c r="P18" s="44">
        <f t="shared" si="0"/>
        <v>0</v>
      </c>
      <c r="Q18" s="44">
        <f t="shared" si="0"/>
        <v>0</v>
      </c>
      <c r="R18" s="44">
        <f t="shared" si="0"/>
        <v>1</v>
      </c>
      <c r="S18" s="44">
        <f t="shared" si="0"/>
        <v>0</v>
      </c>
      <c r="T18" s="45">
        <f t="shared" si="1"/>
        <v>0</v>
      </c>
      <c r="U18" s="45">
        <f t="shared" si="1"/>
        <v>1</v>
      </c>
      <c r="V18" s="45">
        <f t="shared" si="1"/>
        <v>1</v>
      </c>
      <c r="W18" s="45">
        <f t="shared" si="1"/>
        <v>0</v>
      </c>
      <c r="X18" s="45">
        <f t="shared" si="1"/>
        <v>1</v>
      </c>
      <c r="Y18" s="46">
        <f>IF(E18="","",SUM(O18:S18))</f>
        <v>2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Панков Леонид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Лойко Максим Александрович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4</v>
      </c>
      <c r="EV18" s="255"/>
      <c r="EW18" s="255"/>
      <c r="EX18" s="256"/>
      <c r="EY18" s="257">
        <f>IF(F18="","",IF(K18&gt;9,HU18,HS18))</f>
        <v>8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6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>
        <f>IF(H18="","",IF(M18&gt;9,IC18,IA18))</f>
        <v>11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6</v>
      </c>
      <c r="FZ18" s="255"/>
      <c r="GA18" s="255"/>
      <c r="GB18" s="256"/>
      <c r="GC18" s="257">
        <f>IF(I18="","",IF(N18&gt;9,IG18,IE18))</f>
        <v>8</v>
      </c>
      <c r="GD18" s="255"/>
      <c r="GE18" s="255"/>
      <c r="GF18" s="255"/>
      <c r="GG18" s="254" t="str">
        <f>IF(GC18="","","-")</f>
        <v>-</v>
      </c>
      <c r="GH18" s="254"/>
      <c r="GI18" s="255">
        <f>IF(I18="","",IF(N18&lt;-9,IF18,IH18))</f>
        <v>11</v>
      </c>
      <c r="GJ18" s="255"/>
      <c r="GK18" s="255"/>
      <c r="GL18" s="302"/>
      <c r="GM18" s="303">
        <f>Y18</f>
        <v>2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4</v>
      </c>
      <c r="HS18" s="53">
        <f>IF(F18="","",IF(K18=1000,11,IF(K18=-1000,0,IF(K18&gt;0,11,IF(K18&lt;0,(-K18),"0")))))</f>
        <v>8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6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>
        <f>IF(H18="","",IF(M18=1000,11,IF(M18=-1000,0,IF(M18&gt;0,11,IF(M18&lt;0,(-M18),"0")))))</f>
        <v>11</v>
      </c>
      <c r="IB18" s="53">
        <f>IF(H18="","",IF(G18="","",IF(M18=1000,0,IF(M18=-1000,11,IF(M18&lt;-9,-(M18-2),IF(M18&gt;0,(GX18),"0"))))))</f>
        <v>0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6</v>
      </c>
      <c r="IE18" s="49">
        <f>IF(I18="","",IF(N18=1000,11,IF(N18=-1000,0,IF(N18&gt;0,11,IF(N18&lt;0,(-N18),"0")))))</f>
        <v>8</v>
      </c>
      <c r="IF18" s="50" t="str">
        <f>IF(I18="","",IF(N18=1000,0,IF(N18=-1000,11,IF(N18&lt;-9,-(N18-2),IF(N18&gt;0,(GY18),"0")))))</f>
        <v>0</v>
      </c>
      <c r="IG18" s="51">
        <f>IF(I18="","",IF(N18=1000,11,IF(N18=-1000,0,IF(N18&lt;9,11,IF(N18&gt;9,(N18+2),"0")))))</f>
        <v>11</v>
      </c>
      <c r="IH18" s="55">
        <f>IF(I18="","",IF(N18=1000,0,IF(N18=-1000,11,IF(N18&lt;0,11,IF(N18&gt;0,(N18),"0")))))</f>
        <v>11</v>
      </c>
      <c r="II18" s="56">
        <f>IF(E18="","",EO18*1)</f>
        <v>11</v>
      </c>
      <c r="IJ18" s="56">
        <f>IF(F18="","",EY18*1)</f>
        <v>8</v>
      </c>
      <c r="IK18" s="56">
        <f>IF(G18="","",FI18*1)</f>
        <v>6</v>
      </c>
      <c r="IL18" s="56">
        <f>IF(H18="","",FS18*1)</f>
        <v>11</v>
      </c>
      <c r="IM18" s="56">
        <f>IF(I18="","",GC18*1)</f>
        <v>8</v>
      </c>
      <c r="IN18" s="57">
        <f>IF(E18="","",EU18*1)</f>
        <v>4</v>
      </c>
      <c r="IO18" s="57">
        <f>IF(F18="","",FE18*1)</f>
        <v>11</v>
      </c>
      <c r="IP18" s="57">
        <f>IF(G18="","",FO18*1)</f>
        <v>11</v>
      </c>
      <c r="IQ18" s="57">
        <f>IF(H18="","",FY18*1)</f>
        <v>6</v>
      </c>
      <c r="IR18" s="57">
        <f>IF(I18="","",GI18*1)</f>
        <v>11</v>
      </c>
      <c r="IS18" s="58">
        <f>IF(E18="","",SUM(II18:IM18))</f>
        <v>44</v>
      </c>
      <c r="IT18" s="58">
        <f>IF(E18="","",SUM(IN18:IR18))</f>
        <v>43</v>
      </c>
    </row>
    <row r="19" spans="1:254" ht="30" customHeight="1" x14ac:dyDescent="0.2">
      <c r="A19" s="39" t="s">
        <v>17</v>
      </c>
      <c r="B19" s="59">
        <f>IF(B16=0,"",B16)</f>
        <v>14</v>
      </c>
      <c r="C19" s="41" t="s">
        <v>34</v>
      </c>
      <c r="D19" s="59">
        <f>IF(D17=0,"",D17)</f>
        <v>82</v>
      </c>
      <c r="E19" s="42" t="s">
        <v>164</v>
      </c>
      <c r="F19" s="42" t="s">
        <v>157</v>
      </c>
      <c r="G19" s="42" t="s">
        <v>155</v>
      </c>
      <c r="H19" s="42"/>
      <c r="I19" s="42"/>
      <c r="J19" s="43">
        <f t="shared" si="2"/>
        <v>11</v>
      </c>
      <c r="K19" s="43">
        <f t="shared" si="2"/>
        <v>9</v>
      </c>
      <c r="L19" s="43">
        <f t="shared" si="2"/>
        <v>5</v>
      </c>
      <c r="M19" s="43" t="str">
        <f t="shared" si="2"/>
        <v/>
      </c>
      <c r="N19" s="43" t="str">
        <f t="shared" si="2"/>
        <v/>
      </c>
      <c r="O19" s="44">
        <f>IF(J19="","",IF(J19&gt;0,1,0))</f>
        <v>1</v>
      </c>
      <c r="P19" s="44">
        <f t="shared" si="0"/>
        <v>1</v>
      </c>
      <c r="Q19" s="44">
        <f t="shared" si="0"/>
        <v>1</v>
      </c>
      <c r="R19" s="44" t="str">
        <f t="shared" si="0"/>
        <v/>
      </c>
      <c r="S19" s="44" t="str">
        <f t="shared" si="0"/>
        <v/>
      </c>
      <c r="T19" s="45">
        <f t="shared" si="1"/>
        <v>0</v>
      </c>
      <c r="U19" s="45">
        <f t="shared" si="1"/>
        <v>0</v>
      </c>
      <c r="V19" s="45">
        <f t="shared" si="1"/>
        <v>0</v>
      </c>
      <c r="W19" s="45" t="str">
        <f t="shared" si="1"/>
        <v/>
      </c>
      <c r="X19" s="45" t="str">
        <f t="shared" si="1"/>
        <v/>
      </c>
      <c r="Y19" s="46">
        <f>IF(E19="","",SUM(O19:S19))</f>
        <v>3</v>
      </c>
      <c r="Z19" s="46">
        <f>IF(E19="","",SUM(T19:X19))</f>
        <v>0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595" t="str">
        <f>IF(B19="","",VLOOKUP(B19,Список!$E:$O,2,FALSE))</f>
        <v xml:space="preserve"> Масовер Андрей Ромазанович</v>
      </c>
      <c r="AI19" s="596"/>
      <c r="AJ19" s="596"/>
      <c r="AK19" s="596"/>
      <c r="AL19" s="596"/>
      <c r="AM19" s="596"/>
      <c r="AN19" s="596"/>
      <c r="AO19" s="596"/>
      <c r="AP19" s="596"/>
      <c r="AQ19" s="596"/>
      <c r="AR19" s="596"/>
      <c r="AS19" s="596"/>
      <c r="AT19" s="596"/>
      <c r="AU19" s="596"/>
      <c r="AV19" s="596"/>
      <c r="AW19" s="596"/>
      <c r="AX19" s="596"/>
      <c r="AY19" s="596"/>
      <c r="AZ19" s="596"/>
      <c r="BA19" s="596"/>
      <c r="BB19" s="596"/>
      <c r="BC19" s="596"/>
      <c r="BD19" s="596"/>
      <c r="BE19" s="596"/>
      <c r="BF19" s="596"/>
      <c r="BG19" s="596"/>
      <c r="BH19" s="596"/>
      <c r="BI19" s="596"/>
      <c r="BJ19" s="596"/>
      <c r="BK19" s="596"/>
      <c r="BL19" s="596"/>
      <c r="BM19" s="597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Орбакас Антон Эдуардесович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13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9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5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0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>
        <f>IF(E19="","",IF(J19=1000,11,IF(J19=-1000,0,IF(J19&lt;9,11,IF(J19&gt;9,(J19+2),"0")))))</f>
        <v>13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 t="str">
        <f>IF(F19="","",IF(K19=1000,11,IF(K19=-1000,0,IF(K19&lt;9,11,IF(K19&gt;9,(K19+2),"0")))))</f>
        <v>0</v>
      </c>
      <c r="HV19" s="54">
        <f>IF(F19="","",IF(K19=1000,0,IF(K19=-1000,11,IF(K19&lt;0,11,IF(K19&gt;0,(K19),"0")))))</f>
        <v>9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5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13</v>
      </c>
      <c r="IJ19" s="56">
        <f>IF(F19="","",EY19*1)</f>
        <v>11</v>
      </c>
      <c r="IK19" s="56">
        <f>IF(G19="","",FI19*1)</f>
        <v>11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9</v>
      </c>
      <c r="IP19" s="57">
        <f>IF(G19="","",FO19*1)</f>
        <v>5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35</v>
      </c>
      <c r="IT19" s="58">
        <f>IF(E19="","",SUM(IN19:IR19))</f>
        <v>25</v>
      </c>
    </row>
    <row r="20" spans="1:254" ht="30" customHeight="1" thickBot="1" x14ac:dyDescent="0.4">
      <c r="A20" s="39" t="s">
        <v>18</v>
      </c>
      <c r="B20" s="59">
        <f>IF(B17=0,"",B17)</f>
        <v>17</v>
      </c>
      <c r="C20" s="41" t="s">
        <v>35</v>
      </c>
      <c r="D20" s="59">
        <f>IF(D16=0,"",D16)</f>
        <v>81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Щепетнев Дмитрий Владимирович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Пыльник Данил Александрович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11</v>
      </c>
      <c r="GN21" s="222"/>
      <c r="GO21" s="222"/>
      <c r="GP21" s="222"/>
      <c r="GQ21" s="222"/>
      <c r="GR21" s="222"/>
      <c r="GS21" s="223"/>
      <c r="GT21" s="224">
        <f>IF(E16="","",SUM(GT16:GZ20))</f>
        <v>4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1</v>
      </c>
      <c r="HI21" s="228"/>
      <c r="HJ21" s="228"/>
      <c r="HK21" s="228"/>
      <c r="HL21" s="228"/>
      <c r="HM21" s="228"/>
      <c r="HN21" s="231"/>
      <c r="IS21" s="64">
        <f>IF(E16="","",SUM(IS16:IS20))</f>
        <v>152</v>
      </c>
      <c r="IT21" s="65">
        <f>IF(E16="","",SUM(IT16:IT20))</f>
        <v>111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8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"РУСИЧИ"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№3(1)»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12</v>
      </c>
      <c r="F57" s="481"/>
      <c r="G57" s="9"/>
      <c r="H57" s="480">
        <f>C2</f>
        <v>81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110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13</v>
      </c>
      <c r="F58" s="481"/>
      <c r="G58" s="9"/>
      <c r="H58" s="480">
        <f>C4</f>
        <v>83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105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16</v>
      </c>
      <c r="F59" s="481"/>
      <c r="G59" s="9"/>
      <c r="H59" s="480">
        <f>C7</f>
        <v>86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17</v>
      </c>
      <c r="F60" s="481"/>
      <c r="G60" s="9"/>
      <c r="H60" s="480">
        <f>C8</f>
        <v>87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18</v>
      </c>
      <c r="F61" s="481"/>
      <c r="G61" s="9"/>
      <c r="H61" s="480">
        <f>C9</f>
        <v>88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19</v>
      </c>
      <c r="F62" s="481"/>
      <c r="G62" s="9"/>
      <c r="H62" s="480">
        <f>1+H61</f>
        <v>89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20</v>
      </c>
      <c r="F63" s="481"/>
      <c r="G63" s="9"/>
      <c r="H63" s="480">
        <f>1+H62</f>
        <v>90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21</v>
      </c>
      <c r="F64" s="481"/>
      <c r="G64" s="9"/>
      <c r="H64" s="480">
        <f>1+H63</f>
        <v>91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22</v>
      </c>
      <c r="F65" s="481"/>
      <c r="G65" s="9"/>
      <c r="H65" s="480">
        <f>1+H64</f>
        <v>92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23</v>
      </c>
      <c r="F66" s="481"/>
      <c r="G66" s="9"/>
      <c r="H66" s="480">
        <f>1+H65</f>
        <v>93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  <pageSetUpPr fitToPage="1"/>
  </sheetPr>
  <dimension ref="A1:IU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«Дрим Тим» г.Симферополь</v>
      </c>
      <c r="B1" s="576"/>
      <c r="C1" s="577" t="str">
        <f>IF(D11="","",VLOOKUP(D11,Список!B:O,12,FALSE))</f>
        <v>«СШ №3(2)» г.Симферополь</v>
      </c>
      <c r="D1" s="578"/>
      <c r="E1" s="579">
        <v>9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41</v>
      </c>
      <c r="B2" s="13" t="str">
        <f>IF(A2="","",VLOOKUP(A2,Список!E:O,2,FALSE))</f>
        <v xml:space="preserve"> Гаврилов Денис Михайлович</v>
      </c>
      <c r="C2" s="14">
        <f>IF($B$11="","",$D$11*10+1)</f>
        <v>101</v>
      </c>
      <c r="D2" s="15" t="str">
        <f>IF(C2="","",VLOOKUP(C2,Список!E:O,2,FALSE))</f>
        <v xml:space="preserve"> Талалай Игорь Сергеевич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42</v>
      </c>
      <c r="B3" s="13" t="str">
        <f>IF(A3="","",VLOOKUP(A3,Список!E:O,2,FALSE))</f>
        <v xml:space="preserve"> Курило Игорь Сергеевич</v>
      </c>
      <c r="C3" s="14">
        <f>IF($B$11="","",$D$11*10+2)</f>
        <v>102</v>
      </c>
      <c r="D3" s="15" t="str">
        <f>IF(C3="","",VLOOKUP(C3,Список!E:O,2,FALSE))</f>
        <v xml:space="preserve"> Назаренко Олег Михайлович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43</v>
      </c>
      <c r="B4" s="13" t="str">
        <f>IF(A4="","",VLOOKUP(A4,Список!E:O,2,FALSE))</f>
        <v xml:space="preserve"> Длугоканский Андрей Александрович</v>
      </c>
      <c r="C4" s="14">
        <f>IF($B$11="","",$D$11*10+3)</f>
        <v>103</v>
      </c>
      <c r="D4" s="15" t="str">
        <f>IF(C4="","",VLOOKUP(C4,Список!E:O,2,FALSE))</f>
        <v xml:space="preserve"> Романовский Александр Витальевич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44</v>
      </c>
      <c r="B5" s="13" t="str">
        <f>IF(A5="","",VLOOKUP(A5,Список!E:O,2,FALSE))</f>
        <v xml:space="preserve"> Полтев Данил Сергеевич</v>
      </c>
      <c r="C5" s="14">
        <f>IF($B$11="","",$D$11*10+4)</f>
        <v>104</v>
      </c>
      <c r="D5" s="15" t="str">
        <f>IF(C5="","",VLOOKUP(C5,Список!E:O,2,FALSE))</f>
        <v xml:space="preserve"> Алексеев Игорь Юрьевич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45</v>
      </c>
      <c r="B6" s="13" t="str">
        <f>IF(A6="","",VLOOKUP(A6,Список!E:O,2,FALSE))</f>
        <v xml:space="preserve"> Ткаченко Владимир Михайлович</v>
      </c>
      <c r="C6" s="14">
        <f>IF($B$11="","",$D$11*10+5)</f>
        <v>105</v>
      </c>
      <c r="D6" s="15" t="str">
        <f>IF(C6="","",VLOOKUP(C6,Список!E:O,2,FALSE))</f>
        <v xml:space="preserve"> Тимофеев Александр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46</v>
      </c>
      <c r="B7" s="13" t="str">
        <f>IF(A7="","",VLOOKUP(A7,Список!E:O,2,FALSE))</f>
        <v xml:space="preserve"> Животов Дмитрий Викторович</v>
      </c>
      <c r="C7" s="14">
        <f>IF($B$11="","",$D$11*10+6)</f>
        <v>106</v>
      </c>
      <c r="D7" s="15" t="str">
        <f>IF(C7="","",VLOOKUP(C7,Список!E:O,2,FALSE))</f>
        <v xml:space="preserve"> Спорышев Александр Алексеевич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47</v>
      </c>
      <c r="B8" s="13" t="str">
        <f>IF(A8="","",VLOOKUP(A8,Список!E:O,2,FALSE))</f>
        <v xml:space="preserve"> Скоробогатов Евгений Петрович</v>
      </c>
      <c r="C8" s="14">
        <f>IF($B$11="","",$D$11*10+7)</f>
        <v>107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№3(2)»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«Дрим Тим»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48</v>
      </c>
      <c r="B9" s="13" t="str">
        <f>IF(A9="","",VLOOKUP(A9,Список!E:O,2,FALSE))</f>
        <v xml:space="preserve"> Скоробогатов Александр Евгеньевич</v>
      </c>
      <c r="C9" s="14">
        <f>IF($B$11="","",$D$11*10+8)</f>
        <v>108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4</v>
      </c>
      <c r="C11" s="27" t="s">
        <v>18</v>
      </c>
      <c r="D11" s="29">
        <f>IF(B11="","",IF(B11=A13,C13,IF(B11=C13,A13,)))</f>
        <v>10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«Дрим Тим»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№3(2)»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40</v>
      </c>
      <c r="D12" s="25">
        <f>IF(B11="","",D11*10)</f>
        <v>100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10</v>
      </c>
      <c r="B13" s="566"/>
      <c r="C13" s="565">
        <f>IF($E$1="","",VLOOKUP($E$1,'Общее расписание'!$B:$V,3,FALSE))</f>
        <v>4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Скоробогатов Е.П.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2, встреча 9, 10 - 4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9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43</v>
      </c>
      <c r="C16" s="41" t="s">
        <v>35</v>
      </c>
      <c r="D16" s="40">
        <v>103</v>
      </c>
      <c r="E16" s="42" t="s">
        <v>175</v>
      </c>
      <c r="F16" s="42" t="s">
        <v>153</v>
      </c>
      <c r="G16" s="42" t="s">
        <v>171</v>
      </c>
      <c r="H16" s="42" t="s">
        <v>152</v>
      </c>
      <c r="I16" s="42"/>
      <c r="J16" s="43">
        <f>IF(E16="","",IF(E16="0",1000,IF(E16="-0",-1000,E16*1)))</f>
        <v>-10</v>
      </c>
      <c r="K16" s="43">
        <f>IF(F16="","",IF(F16="0",1000,IF(F16="-0",-1000,F16*1)))</f>
        <v>7</v>
      </c>
      <c r="L16" s="43">
        <f>IF(G16="","",IF(G16="0",1000,IF(G16="-0",-1000,G16*1)))</f>
        <v>-6</v>
      </c>
      <c r="M16" s="43">
        <f>IF(H16="","",IF(H16="0",1000,IF(H16="-0",-1000,H16*1)))</f>
        <v>-7</v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1</v>
      </c>
      <c r="Q16" s="44">
        <f t="shared" si="0"/>
        <v>0</v>
      </c>
      <c r="R16" s="44">
        <f t="shared" si="0"/>
        <v>0</v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0</v>
      </c>
      <c r="V16" s="45">
        <f t="shared" si="1"/>
        <v>1</v>
      </c>
      <c r="W16" s="45">
        <f t="shared" si="1"/>
        <v>1</v>
      </c>
      <c r="X16" s="45" t="str">
        <f t="shared" si="1"/>
        <v/>
      </c>
      <c r="Y16" s="46">
        <f>IF(E16="","",SUM(O16:S16))</f>
        <v>1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Длугоканский Андрей Александрович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Романовский Александр Витальевич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10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12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7</v>
      </c>
      <c r="FF16" s="320"/>
      <c r="FG16" s="320"/>
      <c r="FH16" s="321"/>
      <c r="FI16" s="322">
        <f>IF(G16="","",IF(L16&gt;9,HY16,HW16))</f>
        <v>6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7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1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10</v>
      </c>
      <c r="HP16" s="50">
        <f>IF(E16="","",IF(J16=1000,0,IF(J16=-1000,11,IF(J16&lt;-9,-(J16-2),IF(J16&gt;0,(GU16),"0")))))</f>
        <v>12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7</v>
      </c>
      <c r="HW16" s="49">
        <f>IF(G16="","",IF(L16=1000,11,IF(L16=-1000,0,IF(L16&gt;0,11,IF(L16&lt;0,(-L16),"0")))))</f>
        <v>6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7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10</v>
      </c>
      <c r="IJ16" s="56">
        <f>IF(F16="","",EY16*1)</f>
        <v>11</v>
      </c>
      <c r="IK16" s="56">
        <f>IF(G16="","",FI16*1)</f>
        <v>6</v>
      </c>
      <c r="IL16" s="56">
        <f>IF(H16="","",FS16*1)</f>
        <v>7</v>
      </c>
      <c r="IM16" s="56" t="str">
        <f>IF(I16="","",GC16*1)</f>
        <v/>
      </c>
      <c r="IN16" s="57">
        <f>IF(E16="","",EU16*1)</f>
        <v>12</v>
      </c>
      <c r="IO16" s="57">
        <f>IF(F16="","",FE16*1)</f>
        <v>7</v>
      </c>
      <c r="IP16" s="57">
        <f>IF(G16="","",FO16*1)</f>
        <v>11</v>
      </c>
      <c r="IQ16" s="57">
        <f>IF(H16="","",FY16*1)</f>
        <v>11</v>
      </c>
      <c r="IR16" s="57" t="str">
        <f>IF(I16="","",GI16*1)</f>
        <v/>
      </c>
      <c r="IS16" s="58">
        <f>IF(E16="","",SUM(II16:IM16))</f>
        <v>34</v>
      </c>
      <c r="IT16" s="58">
        <f>IF(E16="","",SUM(IN16:IR16))</f>
        <v>41</v>
      </c>
    </row>
    <row r="17" spans="1:254" ht="30" customHeight="1" x14ac:dyDescent="0.35">
      <c r="A17" s="39" t="s">
        <v>18</v>
      </c>
      <c r="B17" s="40">
        <v>44</v>
      </c>
      <c r="C17" s="41" t="s">
        <v>34</v>
      </c>
      <c r="D17" s="40">
        <v>101</v>
      </c>
      <c r="E17" s="42" t="s">
        <v>174</v>
      </c>
      <c r="F17" s="42" t="s">
        <v>153</v>
      </c>
      <c r="G17" s="42" t="s">
        <v>169</v>
      </c>
      <c r="H17" s="42" t="s">
        <v>174</v>
      </c>
      <c r="I17" s="42"/>
      <c r="J17" s="43">
        <f t="shared" ref="J17:N20" si="2">IF(E17="","",IF(E17="0",1000,IF(E17="-0",-1000,E17*1)))</f>
        <v>-3</v>
      </c>
      <c r="K17" s="43">
        <f t="shared" si="2"/>
        <v>7</v>
      </c>
      <c r="L17" s="43">
        <f t="shared" si="2"/>
        <v>-8</v>
      </c>
      <c r="M17" s="43">
        <f t="shared" si="2"/>
        <v>-3</v>
      </c>
      <c r="N17" s="43" t="str">
        <f t="shared" si="2"/>
        <v/>
      </c>
      <c r="O17" s="44">
        <f>IF(J17="","",IF(J17&gt;0,1,0))</f>
        <v>0</v>
      </c>
      <c r="P17" s="44">
        <f t="shared" si="0"/>
        <v>1</v>
      </c>
      <c r="Q17" s="44">
        <f t="shared" si="0"/>
        <v>0</v>
      </c>
      <c r="R17" s="44">
        <f t="shared" si="0"/>
        <v>0</v>
      </c>
      <c r="S17" s="44" t="str">
        <f t="shared" si="0"/>
        <v/>
      </c>
      <c r="T17" s="45">
        <f t="shared" si="1"/>
        <v>1</v>
      </c>
      <c r="U17" s="45">
        <f t="shared" si="1"/>
        <v>0</v>
      </c>
      <c r="V17" s="45">
        <f t="shared" si="1"/>
        <v>1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Полтев Данил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Талалай Игорь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3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7</v>
      </c>
      <c r="FF17" s="255"/>
      <c r="FG17" s="255"/>
      <c r="FH17" s="256"/>
      <c r="FI17" s="257">
        <f>IF(G17="","",IF(L17&gt;9,HY17,HW17))</f>
        <v>8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>
        <f>IF(H17="","",IF(M17&gt;9,IC17,IA17))</f>
        <v>3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3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7</v>
      </c>
      <c r="HW17" s="49">
        <f>IF(G17="","",IF(L17=1000,11,IF(L17=-1000,0,IF(L17&gt;0,11,IF(L17&lt;0,(-L17),"0")))))</f>
        <v>8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3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3</v>
      </c>
      <c r="IJ17" s="56">
        <f>IF(F17="","",EY17*1)</f>
        <v>11</v>
      </c>
      <c r="IK17" s="56">
        <f>IF(G17="","",FI17*1)</f>
        <v>8</v>
      </c>
      <c r="IL17" s="56">
        <f>IF(H17="","",FS17*1)</f>
        <v>3</v>
      </c>
      <c r="IM17" s="56" t="str">
        <f>IF(I17="","",GC17*1)</f>
        <v/>
      </c>
      <c r="IN17" s="57">
        <f>IF(E17="","",EU17*1)</f>
        <v>11</v>
      </c>
      <c r="IO17" s="57">
        <f>IF(F17="","",FE17*1)</f>
        <v>7</v>
      </c>
      <c r="IP17" s="57">
        <f>IF(G17="","",FO17*1)</f>
        <v>11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25</v>
      </c>
      <c r="IT17" s="58">
        <f>IF(E17="","",SUM(IN17:IR17))</f>
        <v>40</v>
      </c>
    </row>
    <row r="18" spans="1:254" ht="30" customHeight="1" x14ac:dyDescent="0.2">
      <c r="A18" s="39" t="s">
        <v>36</v>
      </c>
      <c r="B18" s="40">
        <v>45</v>
      </c>
      <c r="C18" s="41" t="s">
        <v>37</v>
      </c>
      <c r="D18" s="40">
        <v>102</v>
      </c>
      <c r="E18" s="42" t="s">
        <v>161</v>
      </c>
      <c r="F18" s="42" t="s">
        <v>171</v>
      </c>
      <c r="G18" s="42" t="s">
        <v>155</v>
      </c>
      <c r="H18" s="42" t="s">
        <v>175</v>
      </c>
      <c r="I18" s="42" t="s">
        <v>166</v>
      </c>
      <c r="J18" s="43">
        <f t="shared" si="2"/>
        <v>4</v>
      </c>
      <c r="K18" s="43">
        <f t="shared" si="2"/>
        <v>-6</v>
      </c>
      <c r="L18" s="43">
        <f t="shared" si="2"/>
        <v>5</v>
      </c>
      <c r="M18" s="43">
        <f t="shared" si="2"/>
        <v>-10</v>
      </c>
      <c r="N18" s="43">
        <f t="shared" si="2"/>
        <v>8</v>
      </c>
      <c r="O18" s="44">
        <f>IF(J18="","",IF(J18&gt;0,1,0))</f>
        <v>1</v>
      </c>
      <c r="P18" s="44">
        <f t="shared" si="0"/>
        <v>0</v>
      </c>
      <c r="Q18" s="44">
        <f t="shared" si="0"/>
        <v>1</v>
      </c>
      <c r="R18" s="44">
        <f t="shared" si="0"/>
        <v>0</v>
      </c>
      <c r="S18" s="44">
        <f t="shared" si="0"/>
        <v>1</v>
      </c>
      <c r="T18" s="45">
        <f t="shared" si="1"/>
        <v>0</v>
      </c>
      <c r="U18" s="45">
        <f t="shared" si="1"/>
        <v>1</v>
      </c>
      <c r="V18" s="45">
        <f t="shared" si="1"/>
        <v>0</v>
      </c>
      <c r="W18" s="45">
        <f t="shared" si="1"/>
        <v>1</v>
      </c>
      <c r="X18" s="45">
        <f t="shared" si="1"/>
        <v>0</v>
      </c>
      <c r="Y18" s="46">
        <f>IF(E18="","",SUM(O18:S18))</f>
        <v>3</v>
      </c>
      <c r="Z18" s="46">
        <f>IF(E18="","",SUM(T18:X18))</f>
        <v>2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Ткаченко Владимир Михайлович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Назаренко Олег Михайлович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4</v>
      </c>
      <c r="EV18" s="255"/>
      <c r="EW18" s="255"/>
      <c r="EX18" s="256"/>
      <c r="EY18" s="257">
        <f>IF(F18="","",IF(K18&gt;9,HU18,HS18))</f>
        <v>6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5</v>
      </c>
      <c r="FP18" s="255"/>
      <c r="FQ18" s="255"/>
      <c r="FR18" s="256"/>
      <c r="FS18" s="257">
        <f>IF(H18="","",IF(M18&gt;9,IC18,IA18))</f>
        <v>10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12</v>
      </c>
      <c r="FZ18" s="255"/>
      <c r="GA18" s="255"/>
      <c r="GB18" s="256"/>
      <c r="GC18" s="257">
        <f>IF(I18="","",IF(N18&gt;9,IG18,IE18))</f>
        <v>11</v>
      </c>
      <c r="GD18" s="255"/>
      <c r="GE18" s="255"/>
      <c r="GF18" s="255"/>
      <c r="GG18" s="254" t="str">
        <f>IF(GC18="","","-")</f>
        <v>-</v>
      </c>
      <c r="GH18" s="254"/>
      <c r="GI18" s="255">
        <f>IF(I18="","",IF(N18&lt;-9,IF18,IH18))</f>
        <v>8</v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2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4</v>
      </c>
      <c r="HS18" s="53">
        <f>IF(F18="","",IF(K18=1000,11,IF(K18=-1000,0,IF(K18&gt;0,11,IF(K18&lt;0,(-K18),"0")))))</f>
        <v>6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5</v>
      </c>
      <c r="IA18" s="53">
        <f>IF(H18="","",IF(M18=1000,11,IF(M18=-1000,0,IF(M18&gt;0,11,IF(M18&lt;0,(-M18),"0")))))</f>
        <v>10</v>
      </c>
      <c r="IB18" s="53">
        <f>IF(H18="","",IF(G18="","",IF(M18=1000,0,IF(M18=-1000,11,IF(M18&lt;-9,-(M18-2),IF(M18&gt;0,(GX18),"0"))))))</f>
        <v>12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11</v>
      </c>
      <c r="IE18" s="49">
        <f>IF(I18="","",IF(N18=1000,11,IF(N18=-1000,0,IF(N18&gt;0,11,IF(N18&lt;0,(-N18),"0")))))</f>
        <v>11</v>
      </c>
      <c r="IF18" s="50">
        <f>IF(I18="","",IF(N18=1000,0,IF(N18=-1000,11,IF(N18&lt;-9,-(N18-2),IF(N18&gt;0,(GY18),"0")))))</f>
        <v>0</v>
      </c>
      <c r="IG18" s="51">
        <f>IF(I18="","",IF(N18=1000,11,IF(N18=-1000,0,IF(N18&lt;9,11,IF(N18&gt;9,(N18+2),"0")))))</f>
        <v>11</v>
      </c>
      <c r="IH18" s="55">
        <f>IF(I18="","",IF(N18=1000,0,IF(N18=-1000,11,IF(N18&lt;0,11,IF(N18&gt;0,(N18),"0")))))</f>
        <v>8</v>
      </c>
      <c r="II18" s="56">
        <f>IF(E18="","",EO18*1)</f>
        <v>11</v>
      </c>
      <c r="IJ18" s="56">
        <f>IF(F18="","",EY18*1)</f>
        <v>6</v>
      </c>
      <c r="IK18" s="56">
        <f>IF(G18="","",FI18*1)</f>
        <v>11</v>
      </c>
      <c r="IL18" s="56">
        <f>IF(H18="","",FS18*1)</f>
        <v>10</v>
      </c>
      <c r="IM18" s="56">
        <f>IF(I18="","",GC18*1)</f>
        <v>11</v>
      </c>
      <c r="IN18" s="57">
        <f>IF(E18="","",EU18*1)</f>
        <v>4</v>
      </c>
      <c r="IO18" s="57">
        <f>IF(F18="","",FE18*1)</f>
        <v>11</v>
      </c>
      <c r="IP18" s="57">
        <f>IF(G18="","",FO18*1)</f>
        <v>5</v>
      </c>
      <c r="IQ18" s="57">
        <f>IF(H18="","",FY18*1)</f>
        <v>12</v>
      </c>
      <c r="IR18" s="57">
        <f>IF(I18="","",GI18*1)</f>
        <v>8</v>
      </c>
      <c r="IS18" s="58">
        <f>IF(E18="","",SUM(II18:IM18))</f>
        <v>49</v>
      </c>
      <c r="IT18" s="58">
        <f>IF(E18="","",SUM(IN18:IR18))</f>
        <v>40</v>
      </c>
    </row>
    <row r="19" spans="1:254" ht="30" customHeight="1" x14ac:dyDescent="0.2">
      <c r="A19" s="39" t="s">
        <v>17</v>
      </c>
      <c r="B19" s="59">
        <f>IF(B16=0,"",B16)</f>
        <v>43</v>
      </c>
      <c r="C19" s="41" t="s">
        <v>34</v>
      </c>
      <c r="D19" s="59">
        <f>IF(D17=0,"",D17)</f>
        <v>101</v>
      </c>
      <c r="E19" s="42" t="s">
        <v>169</v>
      </c>
      <c r="F19" s="42" t="s">
        <v>171</v>
      </c>
      <c r="G19" s="42" t="s">
        <v>173</v>
      </c>
      <c r="H19" s="42"/>
      <c r="I19" s="42"/>
      <c r="J19" s="43">
        <f t="shared" si="2"/>
        <v>-8</v>
      </c>
      <c r="K19" s="43">
        <f t="shared" si="2"/>
        <v>-6</v>
      </c>
      <c r="L19" s="43">
        <f t="shared" si="2"/>
        <v>-4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Длугоканский Андрей Александрович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Талалай Игорь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8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6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4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8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6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4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8</v>
      </c>
      <c r="IJ19" s="56">
        <f>IF(F19="","",EY19*1)</f>
        <v>6</v>
      </c>
      <c r="IK19" s="56">
        <f>IF(G19="","",FI19*1)</f>
        <v>4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18</v>
      </c>
      <c r="IT19" s="58">
        <f>IF(E19="","",SUM(IN19:IR19))</f>
        <v>33</v>
      </c>
    </row>
    <row r="20" spans="1:254" ht="30" customHeight="1" thickBot="1" x14ac:dyDescent="0.4">
      <c r="A20" s="39" t="s">
        <v>18</v>
      </c>
      <c r="B20" s="59">
        <f>IF(B17=0,"",B17)</f>
        <v>44</v>
      </c>
      <c r="C20" s="41" t="s">
        <v>35</v>
      </c>
      <c r="D20" s="59">
        <f>IF(D16=0,"",D16)</f>
        <v>103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Полтев Данил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Романовский Александр Витальевич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10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«СШ №3(2)»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5</v>
      </c>
      <c r="GN21" s="222"/>
      <c r="GO21" s="222"/>
      <c r="GP21" s="222"/>
      <c r="GQ21" s="222"/>
      <c r="GR21" s="222"/>
      <c r="GS21" s="223"/>
      <c r="GT21" s="224">
        <f>IF(E16="","",SUM(GT16:GZ20))</f>
        <v>11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126</v>
      </c>
      <c r="IT21" s="65">
        <f>IF(E16="","",SUM(IT16:IT20))</f>
        <v>154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9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«Дрим Тим»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№3(2)»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42</v>
      </c>
      <c r="F57" s="481"/>
      <c r="G57" s="9"/>
      <c r="H57" s="480">
        <f>C2</f>
        <v>101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43</v>
      </c>
      <c r="F58" s="481"/>
      <c r="G58" s="9"/>
      <c r="H58" s="480">
        <f>C4</f>
        <v>103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46</v>
      </c>
      <c r="F59" s="481"/>
      <c r="G59" s="9"/>
      <c r="H59" s="480">
        <f>C7</f>
        <v>106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47</v>
      </c>
      <c r="F60" s="481"/>
      <c r="G60" s="9"/>
      <c r="H60" s="480">
        <f>C8</f>
        <v>107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48</v>
      </c>
      <c r="F61" s="481"/>
      <c r="G61" s="9"/>
      <c r="H61" s="480">
        <f>C9</f>
        <v>108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49</v>
      </c>
      <c r="F62" s="481"/>
      <c r="G62" s="9"/>
      <c r="H62" s="480">
        <f>1+H61</f>
        <v>109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50</v>
      </c>
      <c r="F63" s="481"/>
      <c r="G63" s="9"/>
      <c r="H63" s="480">
        <f>1+H62</f>
        <v>110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51</v>
      </c>
      <c r="F64" s="481"/>
      <c r="G64" s="9"/>
      <c r="H64" s="480">
        <f>1+H63</f>
        <v>111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52</v>
      </c>
      <c r="F65" s="481"/>
      <c r="G65" s="9"/>
      <c r="H65" s="480">
        <f>1+H64</f>
        <v>112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53</v>
      </c>
      <c r="F66" s="481"/>
      <c r="G66" s="9"/>
      <c r="H66" s="480">
        <f>1+H65</f>
        <v>113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  <pageSetUpPr fitToPage="1"/>
  </sheetPr>
  <dimension ref="A1:IU102"/>
  <sheetViews>
    <sheetView topLeftCell="C1" zoomScale="44" zoomScaleNormal="44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«Рассвет» г.Симферополь</v>
      </c>
      <c r="B1" s="576"/>
      <c r="C1" s="577" t="str">
        <f>IF(D11="","",VLOOKUP(D11,Список!B:O,12,FALSE))</f>
        <v>"Спортшкола - Юноши" г.Ялта</v>
      </c>
      <c r="D1" s="578"/>
      <c r="E1" s="579">
        <v>10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51</v>
      </c>
      <c r="B2" s="13" t="str">
        <f>IF(A2="","",VLOOKUP(A2,Список!E:O,2,FALSE))</f>
        <v xml:space="preserve"> Пикульский Никита Петрович</v>
      </c>
      <c r="C2" s="14">
        <f>IF($B$11="","",$D$11*10+1)</f>
        <v>91</v>
      </c>
      <c r="D2" s="15" t="str">
        <f>IF(C2="","",VLOOKUP(C2,Список!E:O,2,FALSE))</f>
        <v xml:space="preserve"> Бородин Илья Николаевич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52</v>
      </c>
      <c r="B3" s="13" t="str">
        <f>IF(A3="","",VLOOKUP(A3,Список!E:O,2,FALSE))</f>
        <v xml:space="preserve"> Третьяков Олег Маратович</v>
      </c>
      <c r="C3" s="14">
        <f>IF($B$11="","",$D$11*10+2)</f>
        <v>92</v>
      </c>
      <c r="D3" s="15" t="str">
        <f>IF(C3="","",VLOOKUP(C3,Список!E:O,2,FALSE))</f>
        <v xml:space="preserve"> Чекалов Никита Геннадьевич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53</v>
      </c>
      <c r="B4" s="13" t="str">
        <f>IF(A4="","",VLOOKUP(A4,Список!E:O,2,FALSE))</f>
        <v xml:space="preserve"> Рехтин Андрей Павлович</v>
      </c>
      <c r="C4" s="14">
        <f>IF($B$11="","",$D$11*10+3)</f>
        <v>93</v>
      </c>
      <c r="D4" s="15" t="str">
        <f>IF(C4="","",VLOOKUP(C4,Список!E:O,2,FALSE))</f>
        <v xml:space="preserve"> Груздов Дарион Сергеевич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54</v>
      </c>
      <c r="B5" s="13" t="str">
        <f>IF(A5="","",VLOOKUP(A5,Список!E:O,2,FALSE))</f>
        <v xml:space="preserve"> Алёшкин Дмитрий Сергеевич</v>
      </c>
      <c r="C5" s="14">
        <f>IF($B$11="","",$D$11*10+4)</f>
        <v>94</v>
      </c>
      <c r="D5" s="15" t="str">
        <f>IF(C5="","",VLOOKUP(C5,Список!E:O,2,FALSE))</f>
        <v xml:space="preserve"> Чекалов Дмитрий Геннадьевич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55</v>
      </c>
      <c r="B6" s="13" t="str">
        <f>IF(A6="","",VLOOKUP(A6,Список!E:O,2,FALSE))</f>
        <v>-</v>
      </c>
      <c r="C6" s="14">
        <f>IF($B$11="","",$D$11*10+5)</f>
        <v>95</v>
      </c>
      <c r="D6" s="15" t="str">
        <f>IF(C6="","",VLOOKUP(C6,Список!E:O,2,FALSE))</f>
        <v xml:space="preserve"> Михайленко Кирилл Вадимович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56</v>
      </c>
      <c r="B7" s="13" t="str">
        <f>IF(A7="","",VLOOKUP(A7,Список!E:O,2,FALSE))</f>
        <v>-</v>
      </c>
      <c r="C7" s="14">
        <f>IF($B$11="","",$D$11*10+6)</f>
        <v>96</v>
      </c>
      <c r="D7" s="15" t="str">
        <f>IF(C7="","",VLOOKUP(C7,Список!E:O,2,FALSE))</f>
        <v xml:space="preserve"> Груздов Даниэль Сергеевич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57</v>
      </c>
      <c r="B8" s="13" t="str">
        <f>IF(A8="","",VLOOKUP(A8,Список!E:O,2,FALSE))</f>
        <v>-</v>
      </c>
      <c r="C8" s="14">
        <f>IF($B$11="","",$D$11*10+7)</f>
        <v>97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"Спортшкола - Юноши" г.Ялта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«Рассвет»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58</v>
      </c>
      <c r="B9" s="13" t="str">
        <f>IF(A9="","",VLOOKUP(A9,Список!E:O,2,FALSE))</f>
        <v>-</v>
      </c>
      <c r="C9" s="14">
        <f>IF($B$11="","",$D$11*10+8)</f>
        <v>98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5</v>
      </c>
      <c r="C11" s="27" t="s">
        <v>18</v>
      </c>
      <c r="D11" s="29">
        <f>IF(B11="","",IF(B11=A13,C13,IF(B11=C13,A13,)))</f>
        <v>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«Рассвет»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"Спортшкола - Юноши" г.Ялта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12:00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50</v>
      </c>
      <c r="D12" s="25">
        <f>IF(B11="","",D11*10)</f>
        <v>90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9</v>
      </c>
      <c r="B13" s="566"/>
      <c r="C13" s="565">
        <f>IF($E$1="","",VLOOKUP($E$1,'Общее расписание'!$B:$V,3,FALSE))</f>
        <v>5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Пикульский Н., Третьяков О.М.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2, встреча 10, 9 - 5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10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53</v>
      </c>
      <c r="C16" s="41" t="s">
        <v>35</v>
      </c>
      <c r="D16" s="40">
        <v>92</v>
      </c>
      <c r="E16" s="42" t="s">
        <v>172</v>
      </c>
      <c r="F16" s="42" t="s">
        <v>172</v>
      </c>
      <c r="G16" s="42" t="s">
        <v>155</v>
      </c>
      <c r="H16" s="42" t="s">
        <v>166</v>
      </c>
      <c r="I16" s="42" t="s">
        <v>166</v>
      </c>
      <c r="J16" s="43">
        <f>IF(E16="","",IF(E16="0",1000,IF(E16="-0",-1000,E16*1)))</f>
        <v>-5</v>
      </c>
      <c r="K16" s="43">
        <f>IF(F16="","",IF(F16="0",1000,IF(F16="-0",-1000,F16*1)))</f>
        <v>-5</v>
      </c>
      <c r="L16" s="43">
        <f>IF(G16="","",IF(G16="0",1000,IF(G16="-0",-1000,G16*1)))</f>
        <v>5</v>
      </c>
      <c r="M16" s="43">
        <f>IF(H16="","",IF(H16="0",1000,IF(H16="-0",-1000,H16*1)))</f>
        <v>8</v>
      </c>
      <c r="N16" s="43">
        <f>IF(I16="","",IF(I16="0",1000,IF(I16="-0",-1000,I16*1)))</f>
        <v>8</v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1</v>
      </c>
      <c r="R16" s="44">
        <f t="shared" si="0"/>
        <v>1</v>
      </c>
      <c r="S16" s="44">
        <f t="shared" si="0"/>
        <v>1</v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0</v>
      </c>
      <c r="W16" s="45">
        <f t="shared" si="1"/>
        <v>0</v>
      </c>
      <c r="X16" s="45">
        <f t="shared" si="1"/>
        <v>0</v>
      </c>
      <c r="Y16" s="46">
        <f>IF(E16="","",SUM(O16:S16))</f>
        <v>3</v>
      </c>
      <c r="Z16" s="46">
        <f>IF(E16="","",SUM(T16:X16))</f>
        <v>2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Рехтин Андрей Павлович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Чекалов Никита Геннадьевич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5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5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5</v>
      </c>
      <c r="FP16" s="320"/>
      <c r="FQ16" s="320"/>
      <c r="FR16" s="321"/>
      <c r="FS16" s="322">
        <f>IF(H16="","",IF(M16&gt;9,IC16,IA16))</f>
        <v>11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8</v>
      </c>
      <c r="FZ16" s="320"/>
      <c r="GA16" s="320"/>
      <c r="GB16" s="321"/>
      <c r="GC16" s="257">
        <f>IF(I16="","",IF(N16&gt;9,IG16,IE16))</f>
        <v>11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8</v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2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5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5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5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8</v>
      </c>
      <c r="IE16" s="49">
        <f>IF(I16="","",IF(N16=1000,11,IF(N16=-1000,0,IF(N16&gt;0,11,IF(N16&lt;0,(-N16),"0")))))</f>
        <v>11</v>
      </c>
      <c r="IF16" s="50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8</v>
      </c>
      <c r="II16" s="56">
        <f>IF(E16="","",EO16*1)</f>
        <v>5</v>
      </c>
      <c r="IJ16" s="56">
        <f>IF(F16="","",EY16*1)</f>
        <v>5</v>
      </c>
      <c r="IK16" s="56">
        <f>IF(G16="","",FI16*1)</f>
        <v>11</v>
      </c>
      <c r="IL16" s="56">
        <f>IF(H16="","",FS16*1)</f>
        <v>11</v>
      </c>
      <c r="IM16" s="56">
        <f>IF(I16="","",GC16*1)</f>
        <v>11</v>
      </c>
      <c r="IN16" s="57">
        <f>IF(E16="","",EU16*1)</f>
        <v>11</v>
      </c>
      <c r="IO16" s="57">
        <f>IF(F16="","",FE16*1)</f>
        <v>11</v>
      </c>
      <c r="IP16" s="57">
        <f>IF(G16="","",FO16*1)</f>
        <v>5</v>
      </c>
      <c r="IQ16" s="57">
        <f>IF(H16="","",FY16*1)</f>
        <v>8</v>
      </c>
      <c r="IR16" s="57">
        <f>IF(I16="","",GI16*1)</f>
        <v>8</v>
      </c>
      <c r="IS16" s="58">
        <f>IF(E16="","",SUM(II16:IM16))</f>
        <v>43</v>
      </c>
      <c r="IT16" s="58">
        <f>IF(E16="","",SUM(IN16:IR16))</f>
        <v>43</v>
      </c>
    </row>
    <row r="17" spans="1:254" ht="30" customHeight="1" x14ac:dyDescent="0.35">
      <c r="A17" s="39" t="s">
        <v>18</v>
      </c>
      <c r="B17" s="40">
        <v>54</v>
      </c>
      <c r="C17" s="41" t="s">
        <v>34</v>
      </c>
      <c r="D17" s="40">
        <v>95</v>
      </c>
      <c r="E17" s="42" t="s">
        <v>164</v>
      </c>
      <c r="F17" s="42" t="s">
        <v>155</v>
      </c>
      <c r="G17" s="42" t="s">
        <v>154</v>
      </c>
      <c r="H17" s="42"/>
      <c r="I17" s="42"/>
      <c r="J17" s="43">
        <f t="shared" ref="J17:N20" si="2">IF(E17="","",IF(E17="0",1000,IF(E17="-0",-1000,E17*1)))</f>
        <v>11</v>
      </c>
      <c r="K17" s="43">
        <f t="shared" si="2"/>
        <v>5</v>
      </c>
      <c r="L17" s="43">
        <f t="shared" si="2"/>
        <v>6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Алёшкин Дмитрий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Михайленко Кирилл Вадимович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13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5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6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13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5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6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13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5</v>
      </c>
      <c r="IP17" s="57">
        <f>IF(G17="","",FO17*1)</f>
        <v>6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35</v>
      </c>
      <c r="IT17" s="58">
        <f>IF(E17="","",SUM(IN17:IR17))</f>
        <v>22</v>
      </c>
    </row>
    <row r="18" spans="1:254" ht="30" customHeight="1" x14ac:dyDescent="0.2">
      <c r="A18" s="39" t="s">
        <v>36</v>
      </c>
      <c r="B18" s="40">
        <v>52</v>
      </c>
      <c r="C18" s="41" t="s">
        <v>37</v>
      </c>
      <c r="D18" s="40">
        <v>94</v>
      </c>
      <c r="E18" s="42" t="s">
        <v>157</v>
      </c>
      <c r="F18" s="42" t="s">
        <v>154</v>
      </c>
      <c r="G18" s="42" t="s">
        <v>155</v>
      </c>
      <c r="H18" s="42"/>
      <c r="I18" s="42"/>
      <c r="J18" s="43">
        <f t="shared" si="2"/>
        <v>9</v>
      </c>
      <c r="K18" s="43">
        <f t="shared" si="2"/>
        <v>6</v>
      </c>
      <c r="L18" s="43">
        <f t="shared" si="2"/>
        <v>5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Третьяков Олег Маратович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Чекалов Дмитрий Геннадьевич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9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6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5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 t="str">
        <f>IF(E18="","",IF(J18=1000,11,IF(J18=-1000,0,IF(J18&lt;9,11,IF(J18&gt;9,(J18+2),"0")))))</f>
        <v>0</v>
      </c>
      <c r="HR18" s="52">
        <f>IF(E18="","",IF(J18=1000,0,IF(J18=-1000,11,IF(J18&lt;0,11,IF(J18&gt;0,(J18),"0")))))</f>
        <v>9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6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5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9</v>
      </c>
      <c r="IO18" s="57">
        <f>IF(F18="","",FE18*1)</f>
        <v>6</v>
      </c>
      <c r="IP18" s="57">
        <f>IF(G18="","",FO18*1)</f>
        <v>5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20</v>
      </c>
    </row>
    <row r="19" spans="1:254" ht="30" customHeight="1" x14ac:dyDescent="0.2">
      <c r="A19" s="39" t="s">
        <v>17</v>
      </c>
      <c r="B19" s="59">
        <f>IF(B16=0,"",B16)</f>
        <v>53</v>
      </c>
      <c r="C19" s="41" t="s">
        <v>34</v>
      </c>
      <c r="D19" s="59">
        <f>IF(D17=0,"",D17)</f>
        <v>95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Рехтин Андрей Павлович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Михайленко Кирилл Вадимович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54</v>
      </c>
      <c r="C20" s="41" t="s">
        <v>35</v>
      </c>
      <c r="D20" s="59">
        <f>IF(D16=0,"",D16)</f>
        <v>92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Алёшкин Дмитрий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Чекалов Никита Геннадьевич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5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«Рассвет»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2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111</v>
      </c>
      <c r="IT21" s="65">
        <f>IF(E16="","",SUM(IT16:IT20))</f>
        <v>85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10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«Рассвет»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"Спортшкола - Юноши" г.Ялта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52</v>
      </c>
      <c r="F57" s="481"/>
      <c r="G57" s="9"/>
      <c r="H57" s="480">
        <f>C2</f>
        <v>91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53</v>
      </c>
      <c r="F58" s="481"/>
      <c r="G58" s="9"/>
      <c r="H58" s="480">
        <f>C4</f>
        <v>93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56</v>
      </c>
      <c r="F59" s="481"/>
      <c r="G59" s="9"/>
      <c r="H59" s="480">
        <f>C7</f>
        <v>96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57</v>
      </c>
      <c r="F60" s="481"/>
      <c r="G60" s="9"/>
      <c r="H60" s="480">
        <f>C8</f>
        <v>97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58</v>
      </c>
      <c r="F61" s="481"/>
      <c r="G61" s="9"/>
      <c r="H61" s="480">
        <f>C9</f>
        <v>98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59</v>
      </c>
      <c r="F62" s="481"/>
      <c r="G62" s="9"/>
      <c r="H62" s="480">
        <f>1+H61</f>
        <v>99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60</v>
      </c>
      <c r="F63" s="481"/>
      <c r="G63" s="9"/>
      <c r="H63" s="480">
        <f>1+H62</f>
        <v>100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61</v>
      </c>
      <c r="F64" s="481"/>
      <c r="G64" s="9"/>
      <c r="H64" s="480">
        <f>1+H63</f>
        <v>101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62</v>
      </c>
      <c r="F65" s="481"/>
      <c r="G65" s="9"/>
      <c r="H65" s="480">
        <f>1+H64</f>
        <v>102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63</v>
      </c>
      <c r="F66" s="481"/>
      <c r="G66" s="9"/>
      <c r="H66" s="480">
        <f>1+H65</f>
        <v>103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  <pageSetUpPr fitToPage="1"/>
  </sheetPr>
  <dimension ref="A1:IU102"/>
  <sheetViews>
    <sheetView topLeftCell="G1" zoomScale="55" zoomScaleNormal="55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«Аэропорт - СШ №3» г.Симферополь</v>
      </c>
      <c r="B1" s="576"/>
      <c r="C1" s="577" t="str">
        <f>IF(D11="","",VLOOKUP(D11,Список!B:O,12,FALSE))</f>
        <v>«АРСЕНАЛ-С» г.Севастополь</v>
      </c>
      <c r="D1" s="578"/>
      <c r="E1" s="579">
        <v>11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21</v>
      </c>
      <c r="B2" s="13" t="str">
        <f>IF(A2="","",VLOOKUP(A2,Список!E:O,2,FALSE))</f>
        <v xml:space="preserve"> Павлина Сергей Станиславович</v>
      </c>
      <c r="C2" s="14">
        <f>IF($B$11="","",$D$11*10+1)</f>
        <v>61</v>
      </c>
      <c r="D2" s="15" t="str">
        <f>IF(C2="","",VLOOKUP(C2,Список!E:O,2,FALSE))</f>
        <v xml:space="preserve"> Перфильев Алексей Алексеевич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22</v>
      </c>
      <c r="B3" s="13" t="str">
        <f>IF(A3="","",VLOOKUP(A3,Список!E:O,2,FALSE))</f>
        <v xml:space="preserve"> Банников Юрий Владимирович</v>
      </c>
      <c r="C3" s="14">
        <f>IF($B$11="","",$D$11*10+2)</f>
        <v>62</v>
      </c>
      <c r="D3" s="15" t="str">
        <f>IF(C3="","",VLOOKUP(C3,Список!E:O,2,FALSE))</f>
        <v xml:space="preserve"> Чернокнижников Александр Максимович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23</v>
      </c>
      <c r="B4" s="13" t="str">
        <f>IF(A4="","",VLOOKUP(A4,Список!E:O,2,FALSE))</f>
        <v xml:space="preserve"> Лодыгин Владимир Вадимович</v>
      </c>
      <c r="C4" s="14">
        <f>IF($B$11="","",$D$11*10+3)</f>
        <v>63</v>
      </c>
      <c r="D4" s="15" t="str">
        <f>IF(C4="","",VLOOKUP(C4,Список!E:O,2,FALSE))</f>
        <v xml:space="preserve"> Шило Алексей Вячеславович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24</v>
      </c>
      <c r="B5" s="13" t="str">
        <f>IF(A5="","",VLOOKUP(A5,Список!E:O,2,FALSE))</f>
        <v xml:space="preserve"> Соловей Юрий Анатольевич</v>
      </c>
      <c r="C5" s="14">
        <f>IF($B$11="","",$D$11*10+4)</f>
        <v>64</v>
      </c>
      <c r="D5" s="15" t="str">
        <f>IF(C5="","",VLOOKUP(C5,Список!E:O,2,FALSE))</f>
        <v xml:space="preserve"> Овчаренко Игорь Викторович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25</v>
      </c>
      <c r="B6" s="13" t="str">
        <f>IF(A6="","",VLOOKUP(A6,Список!E:O,2,FALSE))</f>
        <v>-</v>
      </c>
      <c r="C6" s="14">
        <f>IF($B$11="","",$D$11*10+5)</f>
        <v>65</v>
      </c>
      <c r="D6" s="15" t="str">
        <f>IF(C6="","",VLOOKUP(C6,Список!E:O,2,FALSE))</f>
        <v xml:space="preserve"> Королев Роман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26</v>
      </c>
      <c r="B7" s="13" t="str">
        <f>IF(A7="","",VLOOKUP(A7,Список!E:O,2,FALSE))</f>
        <v>-</v>
      </c>
      <c r="C7" s="14">
        <f>IF($B$11="","",$D$11*10+6)</f>
        <v>66</v>
      </c>
      <c r="D7" s="15" t="str">
        <f>IF(C7="","",VLOOKUP(C7,Список!E:O,2,FALSE))</f>
        <v xml:space="preserve"> Горелкин Анатолий Николаевич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27</v>
      </c>
      <c r="B8" s="13" t="str">
        <f>IF(A8="","",VLOOKUP(A8,Список!E:O,2,FALSE))</f>
        <v>-</v>
      </c>
      <c r="C8" s="14">
        <f>IF($B$11="","",$D$11*10+7)</f>
        <v>67</v>
      </c>
      <c r="D8" s="15" t="str">
        <f>IF(C8="","",VLOOKUP(C8,Список!E:O,2,FALSE))</f>
        <v xml:space="preserve"> Осипов Владимир Владимирович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«Аэропорт - СШ №3»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«АРСЕНАЛ-С» г.Севастополь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28</v>
      </c>
      <c r="B9" s="13" t="str">
        <f>IF(A9="","",VLOOKUP(A9,Список!E:O,2,FALSE))</f>
        <v>-</v>
      </c>
      <c r="C9" s="14">
        <f>IF($B$11="","",$D$11*10+8)</f>
        <v>68</v>
      </c>
      <c r="D9" s="15" t="str">
        <f>IF(C9="","",VLOOKUP(C9,Список!E:O,2,FALSE))</f>
        <v xml:space="preserve"> Митин Павел Вадимович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2</v>
      </c>
      <c r="C11" s="27" t="s">
        <v>18</v>
      </c>
      <c r="D11" s="29">
        <f>IF(B11="","",IF(B11=A13,C13,IF(B11=C13,A13,)))</f>
        <v>6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«Аэропорт - СШ №3»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«АРСЕНАЛ-С» г.Севастополь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20</v>
      </c>
      <c r="D12" s="25">
        <f>IF(B11="","",D11*10)</f>
        <v>60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2</v>
      </c>
      <c r="B13" s="566"/>
      <c r="C13" s="565">
        <f>IF($E$1="","",VLOOKUP($E$1,'Общее расписание'!$B:$V,3,FALSE))</f>
        <v>6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Банников Ю.В.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Свистунов А.Н.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3, встреча 11, 2 - 6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11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24</v>
      </c>
      <c r="C16" s="41" t="s">
        <v>35</v>
      </c>
      <c r="D16" s="40"/>
      <c r="E16" s="42" t="s">
        <v>159</v>
      </c>
      <c r="F16" s="42" t="s">
        <v>159</v>
      </c>
      <c r="G16" s="42" t="s">
        <v>159</v>
      </c>
      <c r="H16" s="42"/>
      <c r="I16" s="42"/>
      <c r="J16" s="43">
        <f>IF(E16="","",IF(E16="0",1000,IF(E16="-0",-1000,E16*1)))</f>
        <v>1000</v>
      </c>
      <c r="K16" s="43">
        <f>IF(F16="","",IF(F16="0",1000,IF(F16="-0",-1000,F16*1)))</f>
        <v>1000</v>
      </c>
      <c r="L16" s="43">
        <f>IF(G16="","",IF(G16="0",1000,IF(G16="-0",-1000,G16*1)))</f>
        <v>1000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Соловей Юрий Анатольевич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/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0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0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0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0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0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0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0</v>
      </c>
      <c r="IO16" s="57">
        <f>IF(F16="","",FE16*1)</f>
        <v>0</v>
      </c>
      <c r="IP16" s="57">
        <f>IF(G16="","",FO16*1)</f>
        <v>0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0</v>
      </c>
    </row>
    <row r="17" spans="1:254" ht="30" customHeight="1" x14ac:dyDescent="0.35">
      <c r="A17" s="39" t="s">
        <v>18</v>
      </c>
      <c r="B17" s="40">
        <v>21</v>
      </c>
      <c r="C17" s="41" t="s">
        <v>34</v>
      </c>
      <c r="D17" s="40">
        <v>67</v>
      </c>
      <c r="E17" s="42" t="s">
        <v>155</v>
      </c>
      <c r="F17" s="42" t="s">
        <v>167</v>
      </c>
      <c r="G17" s="42" t="s">
        <v>154</v>
      </c>
      <c r="H17" s="42"/>
      <c r="I17" s="42"/>
      <c r="J17" s="43">
        <f t="shared" ref="J17:N20" si="2">IF(E17="","",IF(E17="0",1000,IF(E17="-0",-1000,E17*1)))</f>
        <v>5</v>
      </c>
      <c r="K17" s="43">
        <f t="shared" si="2"/>
        <v>2</v>
      </c>
      <c r="L17" s="43">
        <f t="shared" si="2"/>
        <v>6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Павлина Сергей Станиславович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Осипов Владимир Владимирович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5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2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6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5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2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6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5</v>
      </c>
      <c r="IO17" s="57">
        <f>IF(F17="","",FE17*1)</f>
        <v>2</v>
      </c>
      <c r="IP17" s="57">
        <f>IF(G17="","",FO17*1)</f>
        <v>6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13</v>
      </c>
    </row>
    <row r="18" spans="1:254" ht="30" customHeight="1" x14ac:dyDescent="0.2">
      <c r="A18" s="39" t="s">
        <v>36</v>
      </c>
      <c r="B18" s="40">
        <v>22</v>
      </c>
      <c r="C18" s="41" t="s">
        <v>37</v>
      </c>
      <c r="D18" s="40">
        <v>66</v>
      </c>
      <c r="E18" s="42" t="s">
        <v>152</v>
      </c>
      <c r="F18" s="42" t="s">
        <v>179</v>
      </c>
      <c r="G18" s="42" t="s">
        <v>176</v>
      </c>
      <c r="H18" s="42" t="s">
        <v>157</v>
      </c>
      <c r="I18" s="42" t="s">
        <v>166</v>
      </c>
      <c r="J18" s="43">
        <f t="shared" si="2"/>
        <v>-7</v>
      </c>
      <c r="K18" s="43">
        <f t="shared" si="2"/>
        <v>-12</v>
      </c>
      <c r="L18" s="43">
        <f t="shared" si="2"/>
        <v>10</v>
      </c>
      <c r="M18" s="43">
        <f t="shared" si="2"/>
        <v>9</v>
      </c>
      <c r="N18" s="43">
        <f t="shared" si="2"/>
        <v>8</v>
      </c>
      <c r="O18" s="44">
        <f>IF(J18="","",IF(J18&gt;0,1,0))</f>
        <v>0</v>
      </c>
      <c r="P18" s="44">
        <f t="shared" si="0"/>
        <v>0</v>
      </c>
      <c r="Q18" s="44">
        <f t="shared" si="0"/>
        <v>1</v>
      </c>
      <c r="R18" s="44">
        <f t="shared" si="0"/>
        <v>1</v>
      </c>
      <c r="S18" s="44">
        <f t="shared" si="0"/>
        <v>1</v>
      </c>
      <c r="T18" s="45">
        <f t="shared" si="1"/>
        <v>1</v>
      </c>
      <c r="U18" s="45">
        <f t="shared" si="1"/>
        <v>1</v>
      </c>
      <c r="V18" s="45">
        <f t="shared" si="1"/>
        <v>0</v>
      </c>
      <c r="W18" s="45">
        <f t="shared" si="1"/>
        <v>0</v>
      </c>
      <c r="X18" s="45">
        <f t="shared" si="1"/>
        <v>0</v>
      </c>
      <c r="Y18" s="46">
        <f>IF(E18="","",SUM(O18:S18))</f>
        <v>3</v>
      </c>
      <c r="Z18" s="46">
        <f>IF(E18="","",SUM(T18:X18))</f>
        <v>2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Банников Юрий Владимирович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Горелкин Анатолий Николаевич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7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12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14</v>
      </c>
      <c r="FF18" s="255"/>
      <c r="FG18" s="255"/>
      <c r="FH18" s="256"/>
      <c r="FI18" s="257">
        <f>IF(G18="","",IF(L18&gt;9,HY18,HW18))</f>
        <v>12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10</v>
      </c>
      <c r="FP18" s="255"/>
      <c r="FQ18" s="255"/>
      <c r="FR18" s="256"/>
      <c r="FS18" s="257">
        <f>IF(H18="","",IF(M18&gt;9,IC18,IA18))</f>
        <v>11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9</v>
      </c>
      <c r="FZ18" s="255"/>
      <c r="GA18" s="255"/>
      <c r="GB18" s="256"/>
      <c r="GC18" s="257">
        <f>IF(I18="","",IF(N18&gt;9,IG18,IE18))</f>
        <v>11</v>
      </c>
      <c r="GD18" s="255"/>
      <c r="GE18" s="255"/>
      <c r="GF18" s="255"/>
      <c r="GG18" s="254" t="str">
        <f>IF(GC18="","","-")</f>
        <v>-</v>
      </c>
      <c r="GH18" s="254"/>
      <c r="GI18" s="255">
        <f>IF(I18="","",IF(N18&lt;-9,IF18,IH18))</f>
        <v>8</v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2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7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12</v>
      </c>
      <c r="HT18" s="53">
        <f>IF(F18="","",IF(K18=1000,0,IF(K18=-1000,11,IF(K18&lt;-9,-(K18-2),IF(K18&gt;0,(GV18),"0")))))</f>
        <v>14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12</v>
      </c>
      <c r="HZ18" s="52">
        <f>IF(G18="","",IF(L18=1000,0,IF(L18=-1000,11,IF(L18&lt;0,11,IF(L18&gt;0,(L18),"0")))))</f>
        <v>10</v>
      </c>
      <c r="IA18" s="53">
        <f>IF(H18="","",IF(M18=1000,11,IF(M18=-1000,0,IF(M18&gt;0,11,IF(M18&lt;0,(-M18),"0")))))</f>
        <v>11</v>
      </c>
      <c r="IB18" s="53">
        <f>IF(H18="","",IF(G18="","",IF(M18=1000,0,IF(M18=-1000,11,IF(M18&lt;-9,-(M18-2),IF(M18&gt;0,(GX18),"0"))))))</f>
        <v>0</v>
      </c>
      <c r="IC18" s="54" t="str">
        <f>IF(H18="","",IF(M18=1000,11,IF(M18=-1000,0,IF(M18&lt;9,11,IF(M18&gt;9,(M18+2),"0")))))</f>
        <v>0</v>
      </c>
      <c r="ID18" s="54">
        <f>IF(H18="","",IF(M18=1000,0,IF(M18=-1000,11,IF(M18&lt;0,11,IF(M18&gt;0,(M18),"0")))))</f>
        <v>9</v>
      </c>
      <c r="IE18" s="49">
        <f>IF(I18="","",IF(N18=1000,11,IF(N18=-1000,0,IF(N18&gt;0,11,IF(N18&lt;0,(-N18),"0")))))</f>
        <v>11</v>
      </c>
      <c r="IF18" s="50">
        <f>IF(I18="","",IF(N18=1000,0,IF(N18=-1000,11,IF(N18&lt;-9,-(N18-2),IF(N18&gt;0,(GY18),"0")))))</f>
        <v>0</v>
      </c>
      <c r="IG18" s="51">
        <f>IF(I18="","",IF(N18=1000,11,IF(N18=-1000,0,IF(N18&lt;9,11,IF(N18&gt;9,(N18+2),"0")))))</f>
        <v>11</v>
      </c>
      <c r="IH18" s="55">
        <f>IF(I18="","",IF(N18=1000,0,IF(N18=-1000,11,IF(N18&lt;0,11,IF(N18&gt;0,(N18),"0")))))</f>
        <v>8</v>
      </c>
      <c r="II18" s="56">
        <f>IF(E18="","",EO18*1)</f>
        <v>7</v>
      </c>
      <c r="IJ18" s="56">
        <f>IF(F18="","",EY18*1)</f>
        <v>12</v>
      </c>
      <c r="IK18" s="56">
        <f>IF(G18="","",FI18*1)</f>
        <v>12</v>
      </c>
      <c r="IL18" s="56">
        <f>IF(H18="","",FS18*1)</f>
        <v>11</v>
      </c>
      <c r="IM18" s="56">
        <f>IF(I18="","",GC18*1)</f>
        <v>11</v>
      </c>
      <c r="IN18" s="57">
        <f>IF(E18="","",EU18*1)</f>
        <v>11</v>
      </c>
      <c r="IO18" s="57">
        <f>IF(F18="","",FE18*1)</f>
        <v>14</v>
      </c>
      <c r="IP18" s="57">
        <f>IF(G18="","",FO18*1)</f>
        <v>10</v>
      </c>
      <c r="IQ18" s="57">
        <f>IF(H18="","",FY18*1)</f>
        <v>9</v>
      </c>
      <c r="IR18" s="57">
        <f>IF(I18="","",GI18*1)</f>
        <v>8</v>
      </c>
      <c r="IS18" s="58">
        <f>IF(E18="","",SUM(II18:IM18))</f>
        <v>53</v>
      </c>
      <c r="IT18" s="58">
        <f>IF(E18="","",SUM(IN18:IR18))</f>
        <v>52</v>
      </c>
    </row>
    <row r="19" spans="1:254" ht="30" customHeight="1" x14ac:dyDescent="0.2">
      <c r="A19" s="39" t="s">
        <v>17</v>
      </c>
      <c r="B19" s="59">
        <f>IF(B16=0,"",B16)</f>
        <v>24</v>
      </c>
      <c r="C19" s="41" t="s">
        <v>34</v>
      </c>
      <c r="D19" s="59">
        <f>IF(D17=0,"",D17)</f>
        <v>67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Соловей Юрий Анатольевич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Осипов Владимир Владимирович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21</v>
      </c>
      <c r="C20" s="41" t="s">
        <v>35</v>
      </c>
      <c r="D20" s="59" t="str">
        <f>IF(D16=0,"",D16)</f>
        <v/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Павлина Сергей Станиславович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/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2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«Аэропорт - СШ №3»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2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119</v>
      </c>
      <c r="IT21" s="65">
        <f>IF(E16="","",SUM(IT16:IT20))</f>
        <v>65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11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«Аэропорт - СШ №3»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«АРСЕНАЛ-С» г.Севастополь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22</v>
      </c>
      <c r="F57" s="481"/>
      <c r="G57" s="9"/>
      <c r="H57" s="480">
        <f>C2</f>
        <v>61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102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23</v>
      </c>
      <c r="F58" s="481"/>
      <c r="G58" s="9"/>
      <c r="H58" s="480">
        <f>C4</f>
        <v>63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103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26</v>
      </c>
      <c r="F59" s="481"/>
      <c r="G59" s="9"/>
      <c r="H59" s="480">
        <f>C7</f>
        <v>66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27</v>
      </c>
      <c r="F60" s="481"/>
      <c r="G60" s="9"/>
      <c r="H60" s="480">
        <f>C8</f>
        <v>67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28</v>
      </c>
      <c r="F61" s="481"/>
      <c r="G61" s="9"/>
      <c r="H61" s="480">
        <f>C9</f>
        <v>68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29</v>
      </c>
      <c r="F62" s="481"/>
      <c r="G62" s="9"/>
      <c r="H62" s="480">
        <f>1+H61</f>
        <v>69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30</v>
      </c>
      <c r="F63" s="481"/>
      <c r="G63" s="9"/>
      <c r="H63" s="480">
        <f>1+H62</f>
        <v>70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31</v>
      </c>
      <c r="F64" s="481"/>
      <c r="G64" s="9"/>
      <c r="H64" s="480">
        <f>1+H63</f>
        <v>71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32</v>
      </c>
      <c r="F65" s="481"/>
      <c r="G65" s="9"/>
      <c r="H65" s="480">
        <f>1+H64</f>
        <v>72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33</v>
      </c>
      <c r="F66" s="481"/>
      <c r="G66" s="9"/>
      <c r="H66" s="480">
        <f>1+H65</f>
        <v>73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  <pageSetUpPr fitToPage="1"/>
  </sheetPr>
  <dimension ref="A1:IU102"/>
  <sheetViews>
    <sheetView topLeftCell="E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"РУСИЧИ" г.Симферополь</v>
      </c>
      <c r="B1" s="576"/>
      <c r="C1" s="577" t="str">
        <f>IF(D11="","",VLOOKUP(D11,Список!B:O,12,FALSE))</f>
        <v>«Спортшкола» г. Ялта</v>
      </c>
      <c r="D1" s="578"/>
      <c r="E1" s="579">
        <v>12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11</v>
      </c>
      <c r="B2" s="13" t="str">
        <f>IF(A2="","",VLOOKUP(A2,Список!E:O,2,FALSE))</f>
        <v xml:space="preserve"> Кривошеев Вячеслав Александрович</v>
      </c>
      <c r="C2" s="14">
        <f>IF($B$11="","",$D$11*10+1)</f>
        <v>71</v>
      </c>
      <c r="D2" s="15" t="str">
        <f>IF(C2="","",VLOOKUP(C2,Список!E:O,2,FALSE))</f>
        <v xml:space="preserve"> Маслий Дмитрий Владимирович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12</v>
      </c>
      <c r="B3" s="13" t="str">
        <f>IF(A3="","",VLOOKUP(A3,Список!E:O,2,FALSE))</f>
        <v xml:space="preserve"> Панченко Артем Иванович</v>
      </c>
      <c r="C3" s="14">
        <f>IF($B$11="","",$D$11*10+2)</f>
        <v>72</v>
      </c>
      <c r="D3" s="15" t="str">
        <f>IF(C3="","",VLOOKUP(C3,Список!E:O,2,FALSE))</f>
        <v xml:space="preserve"> Худенко Александр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13</v>
      </c>
      <c r="B4" s="13" t="str">
        <f>IF(A4="","",VLOOKUP(A4,Список!E:O,2,FALSE))</f>
        <v xml:space="preserve"> Исаков Илья Павлович</v>
      </c>
      <c r="C4" s="14">
        <f>IF($B$11="","",$D$11*10+3)</f>
        <v>73</v>
      </c>
      <c r="D4" s="15" t="str">
        <f>IF(C4="","",VLOOKUP(C4,Список!E:O,2,FALSE))</f>
        <v xml:space="preserve"> Размысловский Павел Алексеевич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14</v>
      </c>
      <c r="B5" s="13" t="str">
        <f>IF(A5="","",VLOOKUP(A5,Список!E:O,2,FALSE))</f>
        <v xml:space="preserve"> Масовер Андрей Ромазанович</v>
      </c>
      <c r="C5" s="14">
        <f>IF($B$11="","",$D$11*10+4)</f>
        <v>74</v>
      </c>
      <c r="D5" s="15" t="str">
        <f>IF(C5="","",VLOOKUP(C5,Список!E:O,2,FALSE))</f>
        <v xml:space="preserve"> Иванов Константин Николаевич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15</v>
      </c>
      <c r="B6" s="13" t="str">
        <f>IF(A6="","",VLOOKUP(A6,Список!E:O,2,FALSE))</f>
        <v xml:space="preserve"> Губанов Никита Сергеевич</v>
      </c>
      <c r="C6" s="14">
        <f>IF($B$11="","",$D$11*10+5)</f>
        <v>75</v>
      </c>
      <c r="D6" s="15" t="str">
        <f>IF(C6="","",VLOOKUP(C6,Список!E:O,2,FALSE))</f>
        <v xml:space="preserve"> Поляков Дмитрий Игоревич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16</v>
      </c>
      <c r="B7" s="13" t="str">
        <f>IF(A7="","",VLOOKUP(A7,Список!E:O,2,FALSE))</f>
        <v xml:space="preserve"> Зайцев Игорь Владимирович</v>
      </c>
      <c r="C7" s="14">
        <f>IF($B$11="","",$D$11*10+6)</f>
        <v>76</v>
      </c>
      <c r="D7" s="15" t="str">
        <f>IF(C7="","",VLOOKUP(C7,Список!E:O,2,FALSE))</f>
        <v xml:space="preserve"> Гузенко Глеб Русланович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17</v>
      </c>
      <c r="B8" s="13" t="str">
        <f>IF(A8="","",VLOOKUP(A8,Список!E:O,2,FALSE))</f>
        <v xml:space="preserve"> Щепетнев Дмитрий Владимирович</v>
      </c>
      <c r="C8" s="14">
        <f>IF($B$11="","",$D$11*10+7)</f>
        <v>77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"РУСИЧИ"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«Спортшкола» г. 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18</v>
      </c>
      <c r="B9" s="13" t="str">
        <f>IF(A9="","",VLOOKUP(A9,Список!E:O,2,FALSE))</f>
        <v xml:space="preserve"> Панков Леонид Александрович</v>
      </c>
      <c r="C9" s="14">
        <f>IF($B$11="","",$D$11*10+8)</f>
        <v>78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1</v>
      </c>
      <c r="C11" s="27" t="s">
        <v>18</v>
      </c>
      <c r="D11" s="29">
        <f>IF(B11="","",IF(B11=A13,C13,IF(B11=C13,A13,)))</f>
        <v>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"РУСИЧИ"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«Спортшкола» г. 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10</v>
      </c>
      <c r="D12" s="25">
        <f>IF(B11="","",D11*10)</f>
        <v>70</v>
      </c>
      <c r="E12" s="17"/>
      <c r="F12" s="17"/>
      <c r="G12" s="17"/>
      <c r="H12" s="17"/>
      <c r="I12" s="17" t="s">
        <v>94</v>
      </c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</v>
      </c>
      <c r="B13" s="566"/>
      <c r="C13" s="565">
        <f>IF($E$1="","",VLOOKUP($E$1,'Общее расписание'!$B:$V,3,FALSE))</f>
        <v>7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Панков Л.А.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3, встреча 12, 1 - 7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12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11</v>
      </c>
      <c r="C16" s="41" t="s">
        <v>35</v>
      </c>
      <c r="D16" s="40">
        <v>74</v>
      </c>
      <c r="E16" s="42" t="s">
        <v>155</v>
      </c>
      <c r="F16" s="42" t="s">
        <v>154</v>
      </c>
      <c r="G16" s="42" t="s">
        <v>153</v>
      </c>
      <c r="H16" s="42"/>
      <c r="I16" s="42"/>
      <c r="J16" s="43">
        <f>IF(E16="","",IF(E16="0",1000,IF(E16="-0",-1000,E16*1)))</f>
        <v>5</v>
      </c>
      <c r="K16" s="43">
        <f>IF(F16="","",IF(F16="0",1000,IF(F16="-0",-1000,F16*1)))</f>
        <v>6</v>
      </c>
      <c r="L16" s="43">
        <f>IF(G16="","",IF(G16="0",1000,IF(G16="-0",-1000,G16*1)))</f>
        <v>7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Кривошеев Вячеслав Александрович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Иванов Константин Николаевич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5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6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7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5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6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7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5</v>
      </c>
      <c r="IO16" s="57">
        <f>IF(F16="","",FE16*1)</f>
        <v>6</v>
      </c>
      <c r="IP16" s="57">
        <f>IF(G16="","",FO16*1)</f>
        <v>7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18</v>
      </c>
    </row>
    <row r="17" spans="1:254" ht="30" customHeight="1" x14ac:dyDescent="0.35">
      <c r="A17" s="39" t="s">
        <v>18</v>
      </c>
      <c r="B17" s="40">
        <v>17</v>
      </c>
      <c r="C17" s="41" t="s">
        <v>34</v>
      </c>
      <c r="D17" s="40">
        <v>72</v>
      </c>
      <c r="E17" s="42" t="s">
        <v>178</v>
      </c>
      <c r="F17" s="42" t="s">
        <v>158</v>
      </c>
      <c r="G17" s="42" t="s">
        <v>158</v>
      </c>
      <c r="H17" s="42" t="s">
        <v>157</v>
      </c>
      <c r="I17" s="42"/>
      <c r="J17" s="43">
        <f t="shared" ref="J17:N20" si="2">IF(E17="","",IF(E17="0",1000,IF(E17="-0",-1000,E17*1)))</f>
        <v>-13</v>
      </c>
      <c r="K17" s="43">
        <f t="shared" si="2"/>
        <v>1</v>
      </c>
      <c r="L17" s="43">
        <f t="shared" si="2"/>
        <v>1</v>
      </c>
      <c r="M17" s="43">
        <f t="shared" si="2"/>
        <v>9</v>
      </c>
      <c r="N17" s="43" t="str">
        <f t="shared" si="2"/>
        <v/>
      </c>
      <c r="O17" s="44">
        <f>IF(J17="","",IF(J17&gt;0,1,0))</f>
        <v>0</v>
      </c>
      <c r="P17" s="44">
        <f t="shared" si="0"/>
        <v>1</v>
      </c>
      <c r="Q17" s="44">
        <f t="shared" si="0"/>
        <v>1</v>
      </c>
      <c r="R17" s="44">
        <f t="shared" si="0"/>
        <v>1</v>
      </c>
      <c r="S17" s="44" t="str">
        <f t="shared" si="0"/>
        <v/>
      </c>
      <c r="T17" s="45">
        <f t="shared" si="1"/>
        <v>1</v>
      </c>
      <c r="U17" s="45">
        <f t="shared" si="1"/>
        <v>0</v>
      </c>
      <c r="V17" s="45">
        <f t="shared" si="1"/>
        <v>0</v>
      </c>
      <c r="W17" s="45">
        <f t="shared" si="1"/>
        <v>0</v>
      </c>
      <c r="X17" s="45" t="str">
        <f t="shared" si="1"/>
        <v/>
      </c>
      <c r="Y17" s="46">
        <f>IF(E17="","",SUM(O17:S17))</f>
        <v>3</v>
      </c>
      <c r="Z17" s="46">
        <f>IF(E17="","",SUM(T17:X17))</f>
        <v>1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Щепетнев Дмитрий Владимирович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Худенко Александр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13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15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</v>
      </c>
      <c r="FP17" s="255"/>
      <c r="FQ17" s="255"/>
      <c r="FR17" s="256"/>
      <c r="FS17" s="257">
        <f>IF(H17="","",IF(M17&gt;9,IC17,IA17))</f>
        <v>11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9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1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13</v>
      </c>
      <c r="HP17" s="50">
        <f>IF(E17="","",IF(J17=1000,0,IF(J17=-1000,11,IF(J17&lt;-9,-(J17-2),IF(J17&gt;0,(GU17),"0")))))</f>
        <v>15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</v>
      </c>
      <c r="IA17" s="53">
        <f>IF(H17="","",IF(M17=1000,11,IF(M17=-1000,0,IF(M17&gt;0,11,IF(M17&lt;0,(-M17),"0")))))</f>
        <v>11</v>
      </c>
      <c r="IB17" s="53">
        <f>IF(H17="","",IF(G17="","",IF(M17=1000,0,IF(M17=-1000,11,IF(M17&lt;-9,-(M17-2),IF(M17&gt;0,(GX17),"0"))))))</f>
        <v>0</v>
      </c>
      <c r="IC17" s="54" t="str">
        <f>IF(H17="","",IF(M17=1000,11,IF(M17=-1000,0,IF(M17&lt;9,11,IF(M17&gt;9,(M17+2),"0")))))</f>
        <v>0</v>
      </c>
      <c r="ID17" s="54">
        <f>IF(H17="","",IF(M17=1000,0,IF(M17=-1000,11,IF(M17&lt;0,11,IF(M17&gt;0,(M17),"0")))))</f>
        <v>9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13</v>
      </c>
      <c r="IJ17" s="56">
        <f>IF(F17="","",EY17*1)</f>
        <v>11</v>
      </c>
      <c r="IK17" s="56">
        <f>IF(G17="","",FI17*1)</f>
        <v>11</v>
      </c>
      <c r="IL17" s="56">
        <f>IF(H17="","",FS17*1)</f>
        <v>11</v>
      </c>
      <c r="IM17" s="56" t="str">
        <f>IF(I17="","",GC17*1)</f>
        <v/>
      </c>
      <c r="IN17" s="57">
        <f>IF(E17="","",EU17*1)</f>
        <v>15</v>
      </c>
      <c r="IO17" s="57">
        <f>IF(F17="","",FE17*1)</f>
        <v>1</v>
      </c>
      <c r="IP17" s="57">
        <f>IF(G17="","",FO17*1)</f>
        <v>1</v>
      </c>
      <c r="IQ17" s="57">
        <f>IF(H17="","",FY17*1)</f>
        <v>9</v>
      </c>
      <c r="IR17" s="57" t="str">
        <f>IF(I17="","",GI17*1)</f>
        <v/>
      </c>
      <c r="IS17" s="58">
        <f>IF(E17="","",SUM(II17:IM17))</f>
        <v>46</v>
      </c>
      <c r="IT17" s="58">
        <f>IF(E17="","",SUM(IN17:IR17))</f>
        <v>26</v>
      </c>
    </row>
    <row r="18" spans="1:254" ht="30" customHeight="1" x14ac:dyDescent="0.2">
      <c r="A18" s="39" t="s">
        <v>36</v>
      </c>
      <c r="B18" s="40">
        <v>18</v>
      </c>
      <c r="C18" s="41" t="s">
        <v>37</v>
      </c>
      <c r="D18" s="40"/>
      <c r="E18" s="42" t="s">
        <v>159</v>
      </c>
      <c r="F18" s="42" t="s">
        <v>159</v>
      </c>
      <c r="G18" s="42" t="s">
        <v>159</v>
      </c>
      <c r="H18" s="42"/>
      <c r="I18" s="42"/>
      <c r="J18" s="43">
        <f t="shared" si="2"/>
        <v>1000</v>
      </c>
      <c r="K18" s="43">
        <f t="shared" si="2"/>
        <v>1000</v>
      </c>
      <c r="L18" s="43">
        <f t="shared" si="2"/>
        <v>1000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Панков Леонид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0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0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0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0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0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0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0</v>
      </c>
      <c r="IO18" s="57">
        <f>IF(F18="","",FE18*1)</f>
        <v>0</v>
      </c>
      <c r="IP18" s="57">
        <f>IF(G18="","",FO18*1)</f>
        <v>0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0</v>
      </c>
    </row>
    <row r="19" spans="1:254" ht="30" customHeight="1" x14ac:dyDescent="0.2">
      <c r="A19" s="39" t="s">
        <v>17</v>
      </c>
      <c r="B19" s="59">
        <f>IF(B16=0,"",B16)</f>
        <v>11</v>
      </c>
      <c r="C19" s="41" t="s">
        <v>34</v>
      </c>
      <c r="D19" s="59">
        <f>IF(D17=0,"",D17)</f>
        <v>72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Кривошеев Вячеслав Александрович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Худенко Александр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17</v>
      </c>
      <c r="C20" s="41" t="s">
        <v>35</v>
      </c>
      <c r="D20" s="59">
        <f>IF(D16=0,"",D16)</f>
        <v>74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Щепетнев Дмитрий Владимирович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Иванов Константин Николаевич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1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112</v>
      </c>
      <c r="IT21" s="65">
        <f>IF(E16="","",SUM(IT16:IT20))</f>
        <v>44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12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"РУСИЧИ"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«Спортшкола» г. 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12</v>
      </c>
      <c r="F57" s="481"/>
      <c r="G57" s="9"/>
      <c r="H57" s="480">
        <f>C2</f>
        <v>71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13</v>
      </c>
      <c r="F58" s="481"/>
      <c r="G58" s="9"/>
      <c r="H58" s="480">
        <f>C4</f>
        <v>73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16</v>
      </c>
      <c r="F59" s="481"/>
      <c r="G59" s="9"/>
      <c r="H59" s="480">
        <f>C7</f>
        <v>76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17</v>
      </c>
      <c r="F60" s="481"/>
      <c r="G60" s="9"/>
      <c r="H60" s="480">
        <f>C8</f>
        <v>77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18</v>
      </c>
      <c r="F61" s="481"/>
      <c r="G61" s="9"/>
      <c r="H61" s="480">
        <f>C9</f>
        <v>78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19</v>
      </c>
      <c r="F62" s="481"/>
      <c r="G62" s="9"/>
      <c r="H62" s="480">
        <f>1+H61</f>
        <v>79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20</v>
      </c>
      <c r="F63" s="481"/>
      <c r="G63" s="9"/>
      <c r="H63" s="480">
        <f>1+H62</f>
        <v>80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21</v>
      </c>
      <c r="F64" s="481"/>
      <c r="G64" s="9"/>
      <c r="H64" s="480">
        <f>1+H63</f>
        <v>81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22</v>
      </c>
      <c r="F65" s="481"/>
      <c r="G65" s="9"/>
      <c r="H65" s="480">
        <f>1+H64</f>
        <v>82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23</v>
      </c>
      <c r="F66" s="481"/>
      <c r="G66" s="9"/>
      <c r="H66" s="480">
        <f>1+H65</f>
        <v>83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  <pageSetUpPr fitToPage="1"/>
  </sheetPr>
  <dimension ref="A1:IU102"/>
  <sheetViews>
    <sheetView topLeftCell="A10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«Интер»  г.Евпатория</v>
      </c>
      <c r="B1" s="576"/>
      <c r="C1" s="577" t="str">
        <f>IF(D11="","",VLOOKUP(D11,Список!B:O,12,FALSE))</f>
        <v>«СШ №3(2)» г.Симферополь</v>
      </c>
      <c r="D1" s="578"/>
      <c r="E1" s="579">
        <v>13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31</v>
      </c>
      <c r="B2" s="13" t="str">
        <f>IF(A2="","",VLOOKUP(A2,Список!E:O,2,FALSE))</f>
        <v xml:space="preserve"> Сорбало Владислав Федорович</v>
      </c>
      <c r="C2" s="14">
        <f>IF($B$11="","",$D$11*10+1)</f>
        <v>101</v>
      </c>
      <c r="D2" s="15" t="str">
        <f>IF(C2="","",VLOOKUP(C2,Список!E:O,2,FALSE))</f>
        <v xml:space="preserve"> Талалай Игорь Сергеевич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32</v>
      </c>
      <c r="B3" s="13" t="str">
        <f>IF(A3="","",VLOOKUP(A3,Список!E:O,2,FALSE))</f>
        <v xml:space="preserve"> Каулик Алексей Сергеевич</v>
      </c>
      <c r="C3" s="14">
        <f>IF($B$11="","",$D$11*10+2)</f>
        <v>102</v>
      </c>
      <c r="D3" s="15" t="str">
        <f>IF(C3="","",VLOOKUP(C3,Список!E:O,2,FALSE))</f>
        <v xml:space="preserve"> Назаренко Олег Михайлович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33</v>
      </c>
      <c r="B4" s="13" t="str">
        <f>IF(A4="","",VLOOKUP(A4,Список!E:O,2,FALSE))</f>
        <v xml:space="preserve"> Скрипин Василий Иванович</v>
      </c>
      <c r="C4" s="14">
        <f>IF($B$11="","",$D$11*10+3)</f>
        <v>103</v>
      </c>
      <c r="D4" s="15" t="str">
        <f>IF(C4="","",VLOOKUP(C4,Список!E:O,2,FALSE))</f>
        <v xml:space="preserve"> Романовский Александр Витальевич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34</v>
      </c>
      <c r="B5" s="13" t="str">
        <f>IF(A5="","",VLOOKUP(A5,Список!E:O,2,FALSE))</f>
        <v xml:space="preserve"> Сыч Станислав Викторович</v>
      </c>
      <c r="C5" s="14">
        <f>IF($B$11="","",$D$11*10+4)</f>
        <v>104</v>
      </c>
      <c r="D5" s="15" t="str">
        <f>IF(C5="","",VLOOKUP(C5,Список!E:O,2,FALSE))</f>
        <v xml:space="preserve"> Алексеев Игорь Юрьевич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35</v>
      </c>
      <c r="B6" s="13" t="str">
        <f>IF(A6="","",VLOOKUP(A6,Список!E:O,2,FALSE))</f>
        <v xml:space="preserve"> Марусич Дмитрий Олегович</v>
      </c>
      <c r="C6" s="14">
        <f>IF($B$11="","",$D$11*10+5)</f>
        <v>105</v>
      </c>
      <c r="D6" s="15" t="str">
        <f>IF(C6="","",VLOOKUP(C6,Список!E:O,2,FALSE))</f>
        <v xml:space="preserve"> Тимофеев Александр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36</v>
      </c>
      <c r="B7" s="13" t="str">
        <f>IF(A7="","",VLOOKUP(A7,Список!E:O,2,FALSE))</f>
        <v xml:space="preserve"> Кафиев Артур Рафаилович</v>
      </c>
      <c r="C7" s="14">
        <f>IF($B$11="","",$D$11*10+6)</f>
        <v>106</v>
      </c>
      <c r="D7" s="15" t="str">
        <f>IF(C7="","",VLOOKUP(C7,Список!E:O,2,FALSE))</f>
        <v xml:space="preserve"> Спорышев Александр Алексеевич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37</v>
      </c>
      <c r="B8" s="13" t="str">
        <f>IF(A8="","",VLOOKUP(A8,Список!E:O,2,FALSE))</f>
        <v xml:space="preserve"> Калинин Илья Валерьевич</v>
      </c>
      <c r="C8" s="14">
        <f>IF($B$11="","",$D$11*10+7)</f>
        <v>107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«Интер»  г.Евпатория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№3(2)»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38</v>
      </c>
      <c r="B9" s="13" t="str">
        <f>IF(A9="","",VLOOKUP(A9,Список!E:O,2,FALSE))</f>
        <v xml:space="preserve"> Скрипин Иван Васильевич</v>
      </c>
      <c r="C9" s="14">
        <f>IF($B$11="","",$D$11*10+8)</f>
        <v>108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3</v>
      </c>
      <c r="C11" s="27" t="s">
        <v>18</v>
      </c>
      <c r="D11" s="29">
        <f>IF(B11="","",IF(B11=A13,C13,IF(B11=C13,A13,)))</f>
        <v>10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«Интер»  г.Евпатория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№3(2)»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30</v>
      </c>
      <c r="D12" s="25">
        <f>IF(B11="","",D11*10)</f>
        <v>100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3</v>
      </c>
      <c r="B13" s="566"/>
      <c r="C13" s="565">
        <f>IF($E$1="","",VLOOKUP($E$1,'Общее расписание'!$B:$V,3,FALSE))</f>
        <v>10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Хилик К.А., Скрипин В.И.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3, встреча 13, 3 - 10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13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31</v>
      </c>
      <c r="C16" s="41" t="s">
        <v>35</v>
      </c>
      <c r="D16" s="40">
        <v>105</v>
      </c>
      <c r="E16" s="42" t="s">
        <v>155</v>
      </c>
      <c r="F16" s="42" t="s">
        <v>153</v>
      </c>
      <c r="G16" s="42" t="s">
        <v>160</v>
      </c>
      <c r="H16" s="42"/>
      <c r="I16" s="42"/>
      <c r="J16" s="43">
        <f>IF(E16="","",IF(E16="0",1000,IF(E16="-0",-1000,E16*1)))</f>
        <v>5</v>
      </c>
      <c r="K16" s="43">
        <f>IF(F16="","",IF(F16="0",1000,IF(F16="-0",-1000,F16*1)))</f>
        <v>7</v>
      </c>
      <c r="L16" s="43">
        <f>IF(G16="","",IF(G16="0",1000,IF(G16="-0",-1000,G16*1)))</f>
        <v>3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Сорбало Владислав Федорович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Тимофеев Александр Сергеевич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5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7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3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5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7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3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5</v>
      </c>
      <c r="IO16" s="57">
        <f>IF(F16="","",FE16*1)</f>
        <v>7</v>
      </c>
      <c r="IP16" s="57">
        <f>IF(G16="","",FO16*1)</f>
        <v>3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15</v>
      </c>
    </row>
    <row r="17" spans="1:254" ht="30" customHeight="1" x14ac:dyDescent="0.35">
      <c r="A17" s="39" t="s">
        <v>18</v>
      </c>
      <c r="B17" s="40">
        <v>32</v>
      </c>
      <c r="C17" s="41" t="s">
        <v>34</v>
      </c>
      <c r="D17" s="40">
        <v>101</v>
      </c>
      <c r="E17" s="42" t="s">
        <v>160</v>
      </c>
      <c r="F17" s="42" t="s">
        <v>169</v>
      </c>
      <c r="G17" s="42" t="s">
        <v>154</v>
      </c>
      <c r="H17" s="42" t="s">
        <v>176</v>
      </c>
      <c r="I17" s="42"/>
      <c r="J17" s="43">
        <f t="shared" ref="J17:N20" si="2">IF(E17="","",IF(E17="0",1000,IF(E17="-0",-1000,E17*1)))</f>
        <v>3</v>
      </c>
      <c r="K17" s="43">
        <f t="shared" si="2"/>
        <v>-8</v>
      </c>
      <c r="L17" s="43">
        <f t="shared" si="2"/>
        <v>6</v>
      </c>
      <c r="M17" s="43">
        <f t="shared" si="2"/>
        <v>10</v>
      </c>
      <c r="N17" s="43" t="str">
        <f t="shared" si="2"/>
        <v/>
      </c>
      <c r="O17" s="44">
        <f>IF(J17="","",IF(J17&gt;0,1,0))</f>
        <v>1</v>
      </c>
      <c r="P17" s="44">
        <f t="shared" si="0"/>
        <v>0</v>
      </c>
      <c r="Q17" s="44">
        <f t="shared" si="0"/>
        <v>1</v>
      </c>
      <c r="R17" s="44">
        <f t="shared" si="0"/>
        <v>1</v>
      </c>
      <c r="S17" s="44" t="str">
        <f t="shared" si="0"/>
        <v/>
      </c>
      <c r="T17" s="45">
        <f t="shared" si="1"/>
        <v>0</v>
      </c>
      <c r="U17" s="45">
        <f t="shared" si="1"/>
        <v>1</v>
      </c>
      <c r="V17" s="45">
        <f t="shared" si="1"/>
        <v>0</v>
      </c>
      <c r="W17" s="45">
        <f t="shared" si="1"/>
        <v>0</v>
      </c>
      <c r="X17" s="45" t="str">
        <f t="shared" si="1"/>
        <v/>
      </c>
      <c r="Y17" s="46">
        <f>IF(E17="","",SUM(O17:S17))</f>
        <v>3</v>
      </c>
      <c r="Z17" s="46">
        <f>IF(E17="","",SUM(T17:X17))</f>
        <v>1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Каулик Алексей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Талалай Игорь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3</v>
      </c>
      <c r="EV17" s="255"/>
      <c r="EW17" s="255"/>
      <c r="EX17" s="256"/>
      <c r="EY17" s="257">
        <f>IF(F17="","",IF(K17&gt;9,HU17,HS17))</f>
        <v>8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6</v>
      </c>
      <c r="FP17" s="255"/>
      <c r="FQ17" s="255"/>
      <c r="FR17" s="256"/>
      <c r="FS17" s="257">
        <f>IF(H17="","",IF(M17&gt;9,IC17,IA17))</f>
        <v>12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10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1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3</v>
      </c>
      <c r="HS17" s="53">
        <f>IF(F17="","",IF(K17=1000,11,IF(K17=-1000,0,IF(K17&gt;0,11,IF(K17&lt;0,(-K17),"0")))))</f>
        <v>8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6</v>
      </c>
      <c r="IA17" s="53">
        <f>IF(H17="","",IF(M17=1000,11,IF(M17=-1000,0,IF(M17&gt;0,11,IF(M17&lt;0,(-M17),"0")))))</f>
        <v>11</v>
      </c>
      <c r="IB17" s="53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12</v>
      </c>
      <c r="ID17" s="54">
        <f>IF(H17="","",IF(M17=1000,0,IF(M17=-1000,11,IF(M17&lt;0,11,IF(M17&gt;0,(M17),"0")))))</f>
        <v>10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8</v>
      </c>
      <c r="IK17" s="56">
        <f>IF(G17="","",FI17*1)</f>
        <v>11</v>
      </c>
      <c r="IL17" s="56">
        <f>IF(H17="","",FS17*1)</f>
        <v>12</v>
      </c>
      <c r="IM17" s="56" t="str">
        <f>IF(I17="","",GC17*1)</f>
        <v/>
      </c>
      <c r="IN17" s="57">
        <f>IF(E17="","",EU17*1)</f>
        <v>3</v>
      </c>
      <c r="IO17" s="57">
        <f>IF(F17="","",FE17*1)</f>
        <v>11</v>
      </c>
      <c r="IP17" s="57">
        <f>IF(G17="","",FO17*1)</f>
        <v>6</v>
      </c>
      <c r="IQ17" s="57">
        <f>IF(H17="","",FY17*1)</f>
        <v>10</v>
      </c>
      <c r="IR17" s="57" t="str">
        <f>IF(I17="","",GI17*1)</f>
        <v/>
      </c>
      <c r="IS17" s="58">
        <f>IF(E17="","",SUM(II17:IM17))</f>
        <v>42</v>
      </c>
      <c r="IT17" s="58">
        <f>IF(E17="","",SUM(IN17:IR17))</f>
        <v>30</v>
      </c>
    </row>
    <row r="18" spans="1:254" ht="30" customHeight="1" x14ac:dyDescent="0.2">
      <c r="A18" s="39" t="s">
        <v>36</v>
      </c>
      <c r="B18" s="40">
        <v>34</v>
      </c>
      <c r="C18" s="41" t="s">
        <v>37</v>
      </c>
      <c r="D18" s="40">
        <v>103</v>
      </c>
      <c r="E18" s="42" t="s">
        <v>175</v>
      </c>
      <c r="F18" s="42" t="s">
        <v>153</v>
      </c>
      <c r="G18" s="42" t="s">
        <v>166</v>
      </c>
      <c r="H18" s="42" t="s">
        <v>165</v>
      </c>
      <c r="I18" s="42" t="s">
        <v>153</v>
      </c>
      <c r="J18" s="43">
        <f t="shared" si="2"/>
        <v>-10</v>
      </c>
      <c r="K18" s="43">
        <f t="shared" si="2"/>
        <v>7</v>
      </c>
      <c r="L18" s="43">
        <f t="shared" si="2"/>
        <v>8</v>
      </c>
      <c r="M18" s="43">
        <f t="shared" si="2"/>
        <v>-11</v>
      </c>
      <c r="N18" s="43">
        <f t="shared" si="2"/>
        <v>7</v>
      </c>
      <c r="O18" s="44">
        <f>IF(J18="","",IF(J18&gt;0,1,0))</f>
        <v>0</v>
      </c>
      <c r="P18" s="44">
        <f t="shared" si="0"/>
        <v>1</v>
      </c>
      <c r="Q18" s="44">
        <f t="shared" si="0"/>
        <v>1</v>
      </c>
      <c r="R18" s="44">
        <f t="shared" si="0"/>
        <v>0</v>
      </c>
      <c r="S18" s="44">
        <f t="shared" si="0"/>
        <v>1</v>
      </c>
      <c r="T18" s="45">
        <f t="shared" si="1"/>
        <v>1</v>
      </c>
      <c r="U18" s="45">
        <f t="shared" si="1"/>
        <v>0</v>
      </c>
      <c r="V18" s="45">
        <f t="shared" si="1"/>
        <v>0</v>
      </c>
      <c r="W18" s="45">
        <f t="shared" si="1"/>
        <v>1</v>
      </c>
      <c r="X18" s="45">
        <f t="shared" si="1"/>
        <v>0</v>
      </c>
      <c r="Y18" s="46">
        <f>IF(E18="","",SUM(O18:S18))</f>
        <v>3</v>
      </c>
      <c r="Z18" s="46">
        <f>IF(E18="","",SUM(T18:X18))</f>
        <v>2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Сыч Станислав Викторович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Романовский Александр Витальевич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12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7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8</v>
      </c>
      <c r="FP18" s="255"/>
      <c r="FQ18" s="255"/>
      <c r="FR18" s="256"/>
      <c r="FS18" s="257">
        <f>IF(H18="","",IF(M18&gt;9,IC18,IA18))</f>
        <v>11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13</v>
      </c>
      <c r="FZ18" s="255"/>
      <c r="GA18" s="255"/>
      <c r="GB18" s="256"/>
      <c r="GC18" s="257">
        <f>IF(I18="","",IF(N18&gt;9,IG18,IE18))</f>
        <v>11</v>
      </c>
      <c r="GD18" s="255"/>
      <c r="GE18" s="255"/>
      <c r="GF18" s="255"/>
      <c r="GG18" s="254" t="str">
        <f>IF(GC18="","","-")</f>
        <v>-</v>
      </c>
      <c r="GH18" s="254"/>
      <c r="GI18" s="255">
        <f>IF(I18="","",IF(N18&lt;-9,IF18,IH18))</f>
        <v>7</v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2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10</v>
      </c>
      <c r="HP18" s="50">
        <f>IF(E18="","",IF(J18=1000,0,IF(J18=-1000,11,IF(J18&lt;-9,-(J18-2),IF(J18&gt;0,(GU18),"0")))))</f>
        <v>12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7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8</v>
      </c>
      <c r="IA18" s="53">
        <f>IF(H18="","",IF(M18=1000,11,IF(M18=-1000,0,IF(M18&gt;0,11,IF(M18&lt;0,(-M18),"0")))))</f>
        <v>11</v>
      </c>
      <c r="IB18" s="53">
        <f>IF(H18="","",IF(G18="","",IF(M18=1000,0,IF(M18=-1000,11,IF(M18&lt;-9,-(M18-2),IF(M18&gt;0,(GX18),"0"))))))</f>
        <v>13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11</v>
      </c>
      <c r="IE18" s="49">
        <f>IF(I18="","",IF(N18=1000,11,IF(N18=-1000,0,IF(N18&gt;0,11,IF(N18&lt;0,(-N18),"0")))))</f>
        <v>11</v>
      </c>
      <c r="IF18" s="50">
        <f>IF(I18="","",IF(N18=1000,0,IF(N18=-1000,11,IF(N18&lt;-9,-(N18-2),IF(N18&gt;0,(GY18),"0")))))</f>
        <v>0</v>
      </c>
      <c r="IG18" s="51">
        <f>IF(I18="","",IF(N18=1000,11,IF(N18=-1000,0,IF(N18&lt;9,11,IF(N18&gt;9,(N18+2),"0")))))</f>
        <v>11</v>
      </c>
      <c r="IH18" s="55">
        <f>IF(I18="","",IF(N18=1000,0,IF(N18=-1000,11,IF(N18&lt;0,11,IF(N18&gt;0,(N18),"0")))))</f>
        <v>7</v>
      </c>
      <c r="II18" s="56">
        <f>IF(E18="","",EO18*1)</f>
        <v>10</v>
      </c>
      <c r="IJ18" s="56">
        <f>IF(F18="","",EY18*1)</f>
        <v>11</v>
      </c>
      <c r="IK18" s="56">
        <f>IF(G18="","",FI18*1)</f>
        <v>11</v>
      </c>
      <c r="IL18" s="56">
        <f>IF(H18="","",FS18*1)</f>
        <v>11</v>
      </c>
      <c r="IM18" s="56">
        <f>IF(I18="","",GC18*1)</f>
        <v>11</v>
      </c>
      <c r="IN18" s="57">
        <f>IF(E18="","",EU18*1)</f>
        <v>12</v>
      </c>
      <c r="IO18" s="57">
        <f>IF(F18="","",FE18*1)</f>
        <v>7</v>
      </c>
      <c r="IP18" s="57">
        <f>IF(G18="","",FO18*1)</f>
        <v>8</v>
      </c>
      <c r="IQ18" s="57">
        <f>IF(H18="","",FY18*1)</f>
        <v>13</v>
      </c>
      <c r="IR18" s="57">
        <f>IF(I18="","",GI18*1)</f>
        <v>7</v>
      </c>
      <c r="IS18" s="58">
        <f>IF(E18="","",SUM(II18:IM18))</f>
        <v>54</v>
      </c>
      <c r="IT18" s="58">
        <f>IF(E18="","",SUM(IN18:IR18))</f>
        <v>47</v>
      </c>
    </row>
    <row r="19" spans="1:254" ht="30" customHeight="1" x14ac:dyDescent="0.2">
      <c r="A19" s="39" t="s">
        <v>17</v>
      </c>
      <c r="B19" s="59">
        <f>IF(B16=0,"",B16)</f>
        <v>31</v>
      </c>
      <c r="C19" s="41" t="s">
        <v>34</v>
      </c>
      <c r="D19" s="59">
        <f>IF(D17=0,"",D17)</f>
        <v>101</v>
      </c>
      <c r="E19" s="42" t="s">
        <v>176</v>
      </c>
      <c r="F19" s="42" t="s">
        <v>154</v>
      </c>
      <c r="G19" s="42" t="s">
        <v>155</v>
      </c>
      <c r="H19" s="42"/>
      <c r="I19" s="42"/>
      <c r="J19" s="43">
        <f t="shared" si="2"/>
        <v>10</v>
      </c>
      <c r="K19" s="43">
        <f t="shared" si="2"/>
        <v>6</v>
      </c>
      <c r="L19" s="43">
        <f t="shared" si="2"/>
        <v>5</v>
      </c>
      <c r="M19" s="43" t="str">
        <f t="shared" si="2"/>
        <v/>
      </c>
      <c r="N19" s="43" t="str">
        <f t="shared" si="2"/>
        <v/>
      </c>
      <c r="O19" s="44">
        <f>IF(J19="","",IF(J19&gt;0,1,0))</f>
        <v>1</v>
      </c>
      <c r="P19" s="44">
        <f t="shared" si="0"/>
        <v>1</v>
      </c>
      <c r="Q19" s="44">
        <f t="shared" si="0"/>
        <v>1</v>
      </c>
      <c r="R19" s="44" t="str">
        <f t="shared" si="0"/>
        <v/>
      </c>
      <c r="S19" s="44" t="str">
        <f t="shared" si="0"/>
        <v/>
      </c>
      <c r="T19" s="45">
        <f t="shared" si="1"/>
        <v>0</v>
      </c>
      <c r="U19" s="45">
        <f t="shared" si="1"/>
        <v>0</v>
      </c>
      <c r="V19" s="45">
        <f t="shared" si="1"/>
        <v>0</v>
      </c>
      <c r="W19" s="45" t="str">
        <f t="shared" si="1"/>
        <v/>
      </c>
      <c r="X19" s="45" t="str">
        <f t="shared" si="1"/>
        <v/>
      </c>
      <c r="Y19" s="46">
        <f>IF(E19="","",SUM(O19:S19))</f>
        <v>3</v>
      </c>
      <c r="Z19" s="46">
        <f>IF(E19="","",SUM(T19:X19))</f>
        <v>0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Сорбало Владислав Федорович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Талалай Игорь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12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10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6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5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0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>
        <f>IF(E19="","",IF(J19=1000,11,IF(J19=-1000,0,IF(J19&lt;9,11,IF(J19&gt;9,(J19+2),"0")))))</f>
        <v>12</v>
      </c>
      <c r="HR19" s="52">
        <f>IF(E19="","",IF(J19=1000,0,IF(J19=-1000,11,IF(J19&lt;0,11,IF(J19&gt;0,(J19),"0")))))</f>
        <v>10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6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5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12</v>
      </c>
      <c r="IJ19" s="56">
        <f>IF(F19="","",EY19*1)</f>
        <v>11</v>
      </c>
      <c r="IK19" s="56">
        <f>IF(G19="","",FI19*1)</f>
        <v>11</v>
      </c>
      <c r="IL19" s="56" t="str">
        <f>IF(H19="","",FS19*1)</f>
        <v/>
      </c>
      <c r="IM19" s="56" t="str">
        <f>IF(I19="","",GC19*1)</f>
        <v/>
      </c>
      <c r="IN19" s="57">
        <f>IF(E19="","",EU19*1)</f>
        <v>10</v>
      </c>
      <c r="IO19" s="57">
        <f>IF(F19="","",FE19*1)</f>
        <v>6</v>
      </c>
      <c r="IP19" s="57">
        <f>IF(G19="","",FO19*1)</f>
        <v>5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34</v>
      </c>
      <c r="IT19" s="58">
        <f>IF(E19="","",SUM(IN19:IR19))</f>
        <v>21</v>
      </c>
    </row>
    <row r="20" spans="1:254" ht="30" customHeight="1" thickBot="1" x14ac:dyDescent="0.4">
      <c r="A20" s="39" t="s">
        <v>18</v>
      </c>
      <c r="B20" s="59">
        <f>IF(B17=0,"",B17)</f>
        <v>32</v>
      </c>
      <c r="C20" s="41" t="s">
        <v>35</v>
      </c>
      <c r="D20" s="59">
        <f>IF(D16=0,"",D16)</f>
        <v>105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Каулик Алексей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Тимофеев Александр Сергеевич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3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«Интер»  г.Евпатория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12</v>
      </c>
      <c r="GN21" s="222"/>
      <c r="GO21" s="222"/>
      <c r="GP21" s="222"/>
      <c r="GQ21" s="222"/>
      <c r="GR21" s="222"/>
      <c r="GS21" s="223"/>
      <c r="GT21" s="224">
        <f>IF(E16="","",SUM(GT16:GZ20))</f>
        <v>3</v>
      </c>
      <c r="GU21" s="225"/>
      <c r="GV21" s="225"/>
      <c r="GW21" s="225"/>
      <c r="GX21" s="225"/>
      <c r="GY21" s="225"/>
      <c r="GZ21" s="226"/>
      <c r="HA21" s="227">
        <f>IF(E16="","",SUM(HA16:HG20))</f>
        <v>4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163</v>
      </c>
      <c r="IT21" s="65">
        <f>IF(E16="","",SUM(IT16:IT20))</f>
        <v>113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13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«Интер»  г.Евпатория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№3(2)»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32</v>
      </c>
      <c r="F57" s="481"/>
      <c r="G57" s="9"/>
      <c r="H57" s="480">
        <f>C2</f>
        <v>101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33</v>
      </c>
      <c r="F58" s="481"/>
      <c r="G58" s="9"/>
      <c r="H58" s="480">
        <f>C4</f>
        <v>103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36</v>
      </c>
      <c r="F59" s="481"/>
      <c r="G59" s="9"/>
      <c r="H59" s="480">
        <f>C7</f>
        <v>106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37</v>
      </c>
      <c r="F60" s="481"/>
      <c r="G60" s="9"/>
      <c r="H60" s="480">
        <f>C8</f>
        <v>107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38</v>
      </c>
      <c r="F61" s="481"/>
      <c r="G61" s="9"/>
      <c r="H61" s="480">
        <f>C9</f>
        <v>108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39</v>
      </c>
      <c r="F62" s="481"/>
      <c r="G62" s="9"/>
      <c r="H62" s="480">
        <f>1+H61</f>
        <v>109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40</v>
      </c>
      <c r="F63" s="481"/>
      <c r="G63" s="9"/>
      <c r="H63" s="480">
        <f>1+H62</f>
        <v>110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41</v>
      </c>
      <c r="F64" s="481"/>
      <c r="G64" s="9"/>
      <c r="H64" s="480">
        <f>1+H63</f>
        <v>111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42</v>
      </c>
      <c r="F65" s="481"/>
      <c r="G65" s="9"/>
      <c r="H65" s="480">
        <f>1+H64</f>
        <v>112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43</v>
      </c>
      <c r="F66" s="481"/>
      <c r="G66" s="9"/>
      <c r="H66" s="480">
        <f>1+H65</f>
        <v>113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  <pageSetUpPr fitToPage="1"/>
  </sheetPr>
  <dimension ref="A1:IU102"/>
  <sheetViews>
    <sheetView topLeftCell="D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«Рассвет» г.Симферополь</v>
      </c>
      <c r="B1" s="576"/>
      <c r="C1" s="577" t="str">
        <f>IF(D11="","",VLOOKUP(D11,Список!B:O,12,FALSE))</f>
        <v>«СШ №3(1)» г.Симферополь</v>
      </c>
      <c r="D1" s="578"/>
      <c r="E1" s="579">
        <v>14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51</v>
      </c>
      <c r="B2" s="13" t="str">
        <f>IF(A2="","",VLOOKUP(A2,Список!E:O,2,FALSE))</f>
        <v xml:space="preserve"> Пикульский Никита Петрович</v>
      </c>
      <c r="C2" s="14">
        <f>IF($B$11="","",$D$11*10+1)</f>
        <v>81</v>
      </c>
      <c r="D2" s="15" t="str">
        <f>IF(C2="","",VLOOKUP(C2,Список!E:O,2,FALSE))</f>
        <v xml:space="preserve"> Пыльник Данил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52</v>
      </c>
      <c r="B3" s="13" t="str">
        <f>IF(A3="","",VLOOKUP(A3,Список!E:O,2,FALSE))</f>
        <v xml:space="preserve"> Третьяков Олег Маратович</v>
      </c>
      <c r="C3" s="14">
        <f>IF($B$11="","",$D$11*10+2)</f>
        <v>82</v>
      </c>
      <c r="D3" s="15" t="str">
        <f>IF(C3="","",VLOOKUP(C3,Список!E:O,2,FALSE))</f>
        <v xml:space="preserve"> Орбакас Антон Эдуардесович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53</v>
      </c>
      <c r="B4" s="13" t="str">
        <f>IF(A4="","",VLOOKUP(A4,Список!E:O,2,FALSE))</f>
        <v xml:space="preserve"> Рехтин Андрей Павлович</v>
      </c>
      <c r="C4" s="14">
        <f>IF($B$11="","",$D$11*10+3)</f>
        <v>83</v>
      </c>
      <c r="D4" s="15" t="str">
        <f>IF(C4="","",VLOOKUP(C4,Список!E:O,2,FALSE))</f>
        <v xml:space="preserve"> Лойко Максим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54</v>
      </c>
      <c r="B5" s="13" t="str">
        <f>IF(A5="","",VLOOKUP(A5,Список!E:O,2,FALSE))</f>
        <v xml:space="preserve"> Алёшкин Дмитрий Сергеевич</v>
      </c>
      <c r="C5" s="14">
        <f>IF($B$11="","",$D$11*10+4)</f>
        <v>84</v>
      </c>
      <c r="D5" s="15" t="str">
        <f>IF(C5="","",VLOOKUP(C5,Список!E:O,2,FALSE))</f>
        <v>-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55</v>
      </c>
      <c r="B6" s="13" t="str">
        <f>IF(A6="","",VLOOKUP(A6,Список!E:O,2,FALSE))</f>
        <v>-</v>
      </c>
      <c r="C6" s="14">
        <f>IF($B$11="","",$D$11*10+5)</f>
        <v>85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56</v>
      </c>
      <c r="B7" s="13" t="str">
        <f>IF(A7="","",VLOOKUP(A7,Список!E:O,2,FALSE))</f>
        <v>-</v>
      </c>
      <c r="C7" s="14">
        <f>IF($B$11="","",$D$11*10+6)</f>
        <v>86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57</v>
      </c>
      <c r="B8" s="13" t="str">
        <f>IF(A8="","",VLOOKUP(A8,Список!E:O,2,FALSE))</f>
        <v>-</v>
      </c>
      <c r="C8" s="14">
        <f>IF($B$11="","",$D$11*10+7)</f>
        <v>87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«Рассвет»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№3(1)»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58</v>
      </c>
      <c r="B9" s="13" t="str">
        <f>IF(A9="","",VLOOKUP(A9,Список!E:O,2,FALSE))</f>
        <v>-</v>
      </c>
      <c r="C9" s="14">
        <f>IF($B$11="","",$D$11*10+8)</f>
        <v>88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5</v>
      </c>
      <c r="C11" s="27" t="s">
        <v>18</v>
      </c>
      <c r="D11" s="29">
        <f>IF(B11="","",IF(B11=A13,C13,IF(B11=C13,A13,)))</f>
        <v>8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«Рассвет»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№3(1)»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50</v>
      </c>
      <c r="D12" s="25">
        <f>IF(B11="","",D11*10)</f>
        <v>80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5</v>
      </c>
      <c r="B13" s="566"/>
      <c r="C13" s="565">
        <f>IF($E$1="","",VLOOKUP($E$1,'Общее расписание'!$B:$V,3,FALSE))</f>
        <v>8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Пикульский Н., Третьяков О.М.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3, встреча 14, 5 - 8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14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51</v>
      </c>
      <c r="C16" s="41" t="s">
        <v>35</v>
      </c>
      <c r="D16" s="40">
        <v>83</v>
      </c>
      <c r="E16" s="42" t="s">
        <v>166</v>
      </c>
      <c r="F16" s="42" t="s">
        <v>174</v>
      </c>
      <c r="G16" s="42" t="s">
        <v>157</v>
      </c>
      <c r="H16" s="42" t="s">
        <v>152</v>
      </c>
      <c r="I16" s="42" t="s">
        <v>153</v>
      </c>
      <c r="J16" s="43">
        <f>IF(E16="","",IF(E16="0",1000,IF(E16="-0",-1000,E16*1)))</f>
        <v>8</v>
      </c>
      <c r="K16" s="43">
        <f>IF(F16="","",IF(F16="0",1000,IF(F16="-0",-1000,F16*1)))</f>
        <v>-3</v>
      </c>
      <c r="L16" s="43">
        <f>IF(G16="","",IF(G16="0",1000,IF(G16="-0",-1000,G16*1)))</f>
        <v>9</v>
      </c>
      <c r="M16" s="43">
        <f>IF(H16="","",IF(H16="0",1000,IF(H16="-0",-1000,H16*1)))</f>
        <v>-7</v>
      </c>
      <c r="N16" s="43">
        <f>IF(I16="","",IF(I16="0",1000,IF(I16="-0",-1000,I16*1)))</f>
        <v>7</v>
      </c>
      <c r="O16" s="44">
        <f>IF(J16="","",IF(J16&gt;0,1,0))</f>
        <v>1</v>
      </c>
      <c r="P16" s="44">
        <f t="shared" ref="P16:S20" si="0">IF(K16="","",IF(K16&gt;0,1,0))</f>
        <v>0</v>
      </c>
      <c r="Q16" s="44">
        <f t="shared" si="0"/>
        <v>1</v>
      </c>
      <c r="R16" s="44">
        <f t="shared" si="0"/>
        <v>0</v>
      </c>
      <c r="S16" s="44">
        <f t="shared" si="0"/>
        <v>1</v>
      </c>
      <c r="T16" s="45">
        <f t="shared" ref="T16:X20" si="1">IF(J16="","",IF(J16&lt;0,1,0))</f>
        <v>0</v>
      </c>
      <c r="U16" s="45">
        <f t="shared" si="1"/>
        <v>1</v>
      </c>
      <c r="V16" s="45">
        <f t="shared" si="1"/>
        <v>0</v>
      </c>
      <c r="W16" s="45">
        <f t="shared" si="1"/>
        <v>1</v>
      </c>
      <c r="X16" s="45">
        <f t="shared" si="1"/>
        <v>0</v>
      </c>
      <c r="Y16" s="46">
        <f>IF(E16="","",SUM(O16:S16))</f>
        <v>3</v>
      </c>
      <c r="Z16" s="46">
        <f>IF(E16="","",SUM(T16:X16))</f>
        <v>2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Пикульский Никита Петрович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Лойко Максим Александрович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8</v>
      </c>
      <c r="EV16" s="320"/>
      <c r="EW16" s="320"/>
      <c r="EX16" s="321"/>
      <c r="EY16" s="322">
        <f>IF(F16="","",IF(K16&gt;9,HU16,HS16))</f>
        <v>3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9</v>
      </c>
      <c r="FP16" s="320"/>
      <c r="FQ16" s="320"/>
      <c r="FR16" s="321"/>
      <c r="FS16" s="322">
        <f>IF(H16="","",IF(M16&gt;9,IC16,IA16))</f>
        <v>7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>
        <f>IF(I16="","",IF(N16&gt;9,IG16,IE16))</f>
        <v>11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7</v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2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8</v>
      </c>
      <c r="HS16" s="53">
        <f>IF(F16="","",IF(K16=1000,11,IF(K16=-1000,0,IF(K16&gt;0,11,IF(K16&lt;0,(-K16),"0")))))</f>
        <v>3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 t="str">
        <f>IF(G16="","",IF(L16=1000,11,IF(L16=-1000,0,IF(L16&lt;9,11,IF(L16&gt;9,(L16+2),"0")))))</f>
        <v>0</v>
      </c>
      <c r="HZ16" s="52">
        <f>IF(G16="","",IF(L16=1000,0,IF(L16=-1000,11,IF(L16&lt;0,11,IF(L16&gt;0,(L16),"0")))))</f>
        <v>9</v>
      </c>
      <c r="IA16" s="53">
        <f>IF(H16="","",IF(M16=1000,11,IF(M16=-1000,0,IF(M16&gt;0,11,IF(M16&lt;0,(-M16),"0")))))</f>
        <v>7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>
        <f>IF(I16="","",IF(N16=1000,11,IF(N16=-1000,0,IF(N16&gt;0,11,IF(N16&lt;0,(-N16),"0")))))</f>
        <v>11</v>
      </c>
      <c r="IF16" s="50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7</v>
      </c>
      <c r="II16" s="56">
        <f>IF(E16="","",EO16*1)</f>
        <v>11</v>
      </c>
      <c r="IJ16" s="56">
        <f>IF(F16="","",EY16*1)</f>
        <v>3</v>
      </c>
      <c r="IK16" s="56">
        <f>IF(G16="","",FI16*1)</f>
        <v>11</v>
      </c>
      <c r="IL16" s="56">
        <f>IF(H16="","",FS16*1)</f>
        <v>7</v>
      </c>
      <c r="IM16" s="56">
        <f>IF(I16="","",GC16*1)</f>
        <v>11</v>
      </c>
      <c r="IN16" s="57">
        <f>IF(E16="","",EU16*1)</f>
        <v>8</v>
      </c>
      <c r="IO16" s="57">
        <f>IF(F16="","",FE16*1)</f>
        <v>11</v>
      </c>
      <c r="IP16" s="57">
        <f>IF(G16="","",FO16*1)</f>
        <v>9</v>
      </c>
      <c r="IQ16" s="57">
        <f>IF(H16="","",FY16*1)</f>
        <v>11</v>
      </c>
      <c r="IR16" s="57">
        <f>IF(I16="","",GI16*1)</f>
        <v>7</v>
      </c>
      <c r="IS16" s="58">
        <f>IF(E16="","",SUM(II16:IM16))</f>
        <v>43</v>
      </c>
      <c r="IT16" s="58">
        <f>IF(E16="","",SUM(IN16:IR16))</f>
        <v>46</v>
      </c>
    </row>
    <row r="17" spans="1:254" ht="30" customHeight="1" x14ac:dyDescent="0.35">
      <c r="A17" s="39" t="s">
        <v>18</v>
      </c>
      <c r="B17" s="40">
        <v>53</v>
      </c>
      <c r="C17" s="41" t="s">
        <v>34</v>
      </c>
      <c r="D17" s="40">
        <v>81</v>
      </c>
      <c r="E17" s="42" t="s">
        <v>156</v>
      </c>
      <c r="F17" s="42" t="s">
        <v>173</v>
      </c>
      <c r="G17" s="42" t="s">
        <v>169</v>
      </c>
      <c r="H17" s="42"/>
      <c r="I17" s="42"/>
      <c r="J17" s="43">
        <f t="shared" ref="J17:N20" si="2">IF(E17="","",IF(E17="0",1000,IF(E17="-0",-1000,E17*1)))</f>
        <v>-9</v>
      </c>
      <c r="K17" s="43">
        <f t="shared" si="2"/>
        <v>-4</v>
      </c>
      <c r="L17" s="43">
        <f t="shared" si="2"/>
        <v>-8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Рехтин Андрей Павлович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Пыльник Данил Александрович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9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4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8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9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4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8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9</v>
      </c>
      <c r="IJ17" s="56">
        <f>IF(F17="","",EY17*1)</f>
        <v>4</v>
      </c>
      <c r="IK17" s="56">
        <f>IF(G17="","",FI17*1)</f>
        <v>8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21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52</v>
      </c>
      <c r="C18" s="41" t="s">
        <v>37</v>
      </c>
      <c r="D18" s="40">
        <v>82</v>
      </c>
      <c r="E18" s="42" t="s">
        <v>166</v>
      </c>
      <c r="F18" s="42" t="s">
        <v>162</v>
      </c>
      <c r="G18" s="42" t="s">
        <v>169</v>
      </c>
      <c r="H18" s="42" t="s">
        <v>166</v>
      </c>
      <c r="I18" s="42" t="s">
        <v>174</v>
      </c>
      <c r="J18" s="43">
        <f t="shared" si="2"/>
        <v>8</v>
      </c>
      <c r="K18" s="43">
        <f t="shared" si="2"/>
        <v>-1</v>
      </c>
      <c r="L18" s="43">
        <f t="shared" si="2"/>
        <v>-8</v>
      </c>
      <c r="M18" s="43">
        <f t="shared" si="2"/>
        <v>8</v>
      </c>
      <c r="N18" s="43">
        <f t="shared" si="2"/>
        <v>-3</v>
      </c>
      <c r="O18" s="44">
        <f>IF(J18="","",IF(J18&gt;0,1,0))</f>
        <v>1</v>
      </c>
      <c r="P18" s="44">
        <f t="shared" si="0"/>
        <v>0</v>
      </c>
      <c r="Q18" s="44">
        <f t="shared" si="0"/>
        <v>0</v>
      </c>
      <c r="R18" s="44">
        <f t="shared" si="0"/>
        <v>1</v>
      </c>
      <c r="S18" s="44">
        <f t="shared" si="0"/>
        <v>0</v>
      </c>
      <c r="T18" s="45">
        <f t="shared" si="1"/>
        <v>0</v>
      </c>
      <c r="U18" s="45">
        <f t="shared" si="1"/>
        <v>1</v>
      </c>
      <c r="V18" s="45">
        <f t="shared" si="1"/>
        <v>1</v>
      </c>
      <c r="W18" s="45">
        <f t="shared" si="1"/>
        <v>0</v>
      </c>
      <c r="X18" s="45">
        <f t="shared" si="1"/>
        <v>1</v>
      </c>
      <c r="Y18" s="46">
        <f>IF(E18="","",SUM(O18:S18))</f>
        <v>2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Третьяков Олег Маратович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Орбакас Антон Эдуардесович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8</v>
      </c>
      <c r="EV18" s="255"/>
      <c r="EW18" s="255"/>
      <c r="EX18" s="256"/>
      <c r="EY18" s="257">
        <f>IF(F18="","",IF(K18&gt;9,HU18,HS18))</f>
        <v>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8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>
        <f>IF(H18="","",IF(M18&gt;9,IC18,IA18))</f>
        <v>11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8</v>
      </c>
      <c r="FZ18" s="255"/>
      <c r="GA18" s="255"/>
      <c r="GB18" s="256"/>
      <c r="GC18" s="257">
        <f>IF(I18="","",IF(N18&gt;9,IG18,IE18))</f>
        <v>3</v>
      </c>
      <c r="GD18" s="255"/>
      <c r="GE18" s="255"/>
      <c r="GF18" s="255"/>
      <c r="GG18" s="254" t="str">
        <f>IF(GC18="","","-")</f>
        <v>-</v>
      </c>
      <c r="GH18" s="254"/>
      <c r="GI18" s="255">
        <f>IF(I18="","",IF(N18&lt;-9,IF18,IH18))</f>
        <v>11</v>
      </c>
      <c r="GJ18" s="255"/>
      <c r="GK18" s="255"/>
      <c r="GL18" s="302"/>
      <c r="GM18" s="303">
        <f>Y18</f>
        <v>2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8</v>
      </c>
      <c r="HS18" s="53">
        <f>IF(F18="","",IF(K18=1000,11,IF(K18=-1000,0,IF(K18&gt;0,11,IF(K18&lt;0,(-K18),"0")))))</f>
        <v>1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8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>
        <f>IF(H18="","",IF(M18=1000,11,IF(M18=-1000,0,IF(M18&gt;0,11,IF(M18&lt;0,(-M18),"0")))))</f>
        <v>11</v>
      </c>
      <c r="IB18" s="53">
        <f>IF(H18="","",IF(G18="","",IF(M18=1000,0,IF(M18=-1000,11,IF(M18&lt;-9,-(M18-2),IF(M18&gt;0,(GX18),"0"))))))</f>
        <v>0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8</v>
      </c>
      <c r="IE18" s="49">
        <f>IF(I18="","",IF(N18=1000,11,IF(N18=-1000,0,IF(N18&gt;0,11,IF(N18&lt;0,(-N18),"0")))))</f>
        <v>3</v>
      </c>
      <c r="IF18" s="50" t="str">
        <f>IF(I18="","",IF(N18=1000,0,IF(N18=-1000,11,IF(N18&lt;-9,-(N18-2),IF(N18&gt;0,(GY18),"0")))))</f>
        <v>0</v>
      </c>
      <c r="IG18" s="51">
        <f>IF(I18="","",IF(N18=1000,11,IF(N18=-1000,0,IF(N18&lt;9,11,IF(N18&gt;9,(N18+2),"0")))))</f>
        <v>11</v>
      </c>
      <c r="IH18" s="55">
        <f>IF(I18="","",IF(N18=1000,0,IF(N18=-1000,11,IF(N18&lt;0,11,IF(N18&gt;0,(N18),"0")))))</f>
        <v>11</v>
      </c>
      <c r="II18" s="56">
        <f>IF(E18="","",EO18*1)</f>
        <v>11</v>
      </c>
      <c r="IJ18" s="56">
        <f>IF(F18="","",EY18*1)</f>
        <v>1</v>
      </c>
      <c r="IK18" s="56">
        <f>IF(G18="","",FI18*1)</f>
        <v>8</v>
      </c>
      <c r="IL18" s="56">
        <f>IF(H18="","",FS18*1)</f>
        <v>11</v>
      </c>
      <c r="IM18" s="56">
        <f>IF(I18="","",GC18*1)</f>
        <v>3</v>
      </c>
      <c r="IN18" s="57">
        <f>IF(E18="","",EU18*1)</f>
        <v>8</v>
      </c>
      <c r="IO18" s="57">
        <f>IF(F18="","",FE18*1)</f>
        <v>11</v>
      </c>
      <c r="IP18" s="57">
        <f>IF(G18="","",FO18*1)</f>
        <v>11</v>
      </c>
      <c r="IQ18" s="57">
        <f>IF(H18="","",FY18*1)</f>
        <v>8</v>
      </c>
      <c r="IR18" s="57">
        <f>IF(I18="","",GI18*1)</f>
        <v>11</v>
      </c>
      <c r="IS18" s="58">
        <f>IF(E18="","",SUM(II18:IM18))</f>
        <v>34</v>
      </c>
      <c r="IT18" s="58">
        <f>IF(E18="","",SUM(IN18:IR18))</f>
        <v>49</v>
      </c>
    </row>
    <row r="19" spans="1:254" ht="30" customHeight="1" x14ac:dyDescent="0.2">
      <c r="A19" s="39" t="s">
        <v>17</v>
      </c>
      <c r="B19" s="59">
        <f>IF(B16=0,"",B16)</f>
        <v>51</v>
      </c>
      <c r="C19" s="41" t="s">
        <v>34</v>
      </c>
      <c r="D19" s="59">
        <f>IF(D17=0,"",D17)</f>
        <v>81</v>
      </c>
      <c r="E19" s="42" t="s">
        <v>172</v>
      </c>
      <c r="F19" s="42" t="s">
        <v>171</v>
      </c>
      <c r="G19" s="42" t="s">
        <v>152</v>
      </c>
      <c r="H19" s="42"/>
      <c r="I19" s="42"/>
      <c r="J19" s="43">
        <f t="shared" si="2"/>
        <v>-5</v>
      </c>
      <c r="K19" s="43">
        <f t="shared" si="2"/>
        <v>-6</v>
      </c>
      <c r="L19" s="43">
        <f t="shared" si="2"/>
        <v>-7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Пикульский Никита Петрович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Пыльник Данил Александрович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5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6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7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5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6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7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5</v>
      </c>
      <c r="IJ19" s="56">
        <f>IF(F19="","",EY19*1)</f>
        <v>6</v>
      </c>
      <c r="IK19" s="56">
        <f>IF(G19="","",FI19*1)</f>
        <v>7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18</v>
      </c>
      <c r="IT19" s="58">
        <f>IF(E19="","",SUM(IN19:IR19))</f>
        <v>33</v>
      </c>
    </row>
    <row r="20" spans="1:254" ht="30" customHeight="1" thickBot="1" x14ac:dyDescent="0.4">
      <c r="A20" s="39" t="s">
        <v>18</v>
      </c>
      <c r="B20" s="59">
        <f>IF(B17=0,"",B17)</f>
        <v>53</v>
      </c>
      <c r="C20" s="41" t="s">
        <v>35</v>
      </c>
      <c r="D20" s="59">
        <f>IF(D16=0,"",D16)</f>
        <v>83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Рехтин Андрей Павлович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Лойко Максим Александрович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8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«СШ №3(1)»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5</v>
      </c>
      <c r="GN21" s="222"/>
      <c r="GO21" s="222"/>
      <c r="GP21" s="222"/>
      <c r="GQ21" s="222"/>
      <c r="GR21" s="222"/>
      <c r="GS21" s="223"/>
      <c r="GT21" s="224">
        <f>IF(E16="","",SUM(GT16:GZ20))</f>
        <v>11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116</v>
      </c>
      <c r="IT21" s="65">
        <f>IF(E16="","",SUM(IT16:IT20))</f>
        <v>161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14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«Рассвет»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№3(1)»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52</v>
      </c>
      <c r="F57" s="481"/>
      <c r="G57" s="9"/>
      <c r="H57" s="480">
        <f>C2</f>
        <v>81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53</v>
      </c>
      <c r="F58" s="481"/>
      <c r="G58" s="9"/>
      <c r="H58" s="480">
        <f>C4</f>
        <v>83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56</v>
      </c>
      <c r="F59" s="481"/>
      <c r="G59" s="9"/>
      <c r="H59" s="480">
        <f>C7</f>
        <v>86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57</v>
      </c>
      <c r="F60" s="481"/>
      <c r="G60" s="9"/>
      <c r="H60" s="480">
        <f>C8</f>
        <v>87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58</v>
      </c>
      <c r="F61" s="481"/>
      <c r="G61" s="9"/>
      <c r="H61" s="480">
        <f>C9</f>
        <v>88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59</v>
      </c>
      <c r="F62" s="481"/>
      <c r="G62" s="9"/>
      <c r="H62" s="480">
        <f>1+H61</f>
        <v>89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60</v>
      </c>
      <c r="F63" s="481"/>
      <c r="G63" s="9"/>
      <c r="H63" s="480">
        <f>1+H62</f>
        <v>90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61</v>
      </c>
      <c r="F64" s="481"/>
      <c r="G64" s="9"/>
      <c r="H64" s="480">
        <f>1+H63</f>
        <v>91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62</v>
      </c>
      <c r="F65" s="481"/>
      <c r="G65" s="9"/>
      <c r="H65" s="480">
        <f>1+H64</f>
        <v>92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63</v>
      </c>
      <c r="F66" s="481"/>
      <c r="G66" s="9"/>
      <c r="H66" s="480">
        <f>1+H65</f>
        <v>93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B2:DG30"/>
  <sheetViews>
    <sheetView showGridLines="0" zoomScale="70" zoomScaleNormal="70" workbookViewId="0">
      <selection activeCell="AE24" sqref="AE24:AG24"/>
    </sheetView>
  </sheetViews>
  <sheetFormatPr defaultColWidth="9.140625" defaultRowHeight="15" outlineLevelCol="1" x14ac:dyDescent="0.25"/>
  <cols>
    <col min="1" max="1" width="9.140625" style="1"/>
    <col min="2" max="2" width="5.85546875" style="1" customWidth="1"/>
    <col min="3" max="3" width="39.28515625" style="1" customWidth="1"/>
    <col min="4" max="4" width="9.5703125" style="1" customWidth="1" outlineLevel="1"/>
    <col min="5" max="5" width="0.7109375" style="1" customWidth="1"/>
    <col min="6" max="6" width="3.140625" style="1" customWidth="1"/>
    <col min="7" max="7" width="1.140625" style="1" customWidth="1"/>
    <col min="8" max="8" width="3.140625" style="1" customWidth="1"/>
    <col min="9" max="10" width="0.7109375" style="1" customWidth="1"/>
    <col min="11" max="11" width="3.140625" style="1" customWidth="1"/>
    <col min="12" max="12" width="1.140625" style="1" customWidth="1"/>
    <col min="13" max="13" width="3.140625" style="1" customWidth="1"/>
    <col min="14" max="15" width="0.7109375" style="1" customWidth="1"/>
    <col min="16" max="16" width="3.140625" style="1" customWidth="1"/>
    <col min="17" max="17" width="1.140625" style="1" customWidth="1"/>
    <col min="18" max="18" width="3.140625" style="1" customWidth="1"/>
    <col min="19" max="20" width="0.7109375" style="1" customWidth="1"/>
    <col min="21" max="21" width="3.140625" style="1" customWidth="1"/>
    <col min="22" max="22" width="1.140625" style="1" customWidth="1"/>
    <col min="23" max="23" width="3.140625" style="1" customWidth="1"/>
    <col min="24" max="25" width="0.7109375" style="1" customWidth="1"/>
    <col min="26" max="26" width="3.140625" style="1" customWidth="1"/>
    <col min="27" max="27" width="1.140625" style="1" customWidth="1"/>
    <col min="28" max="28" width="3.140625" style="1" customWidth="1"/>
    <col min="29" max="30" width="0.7109375" style="1" customWidth="1"/>
    <col min="31" max="31" width="3.140625" style="1" customWidth="1"/>
    <col min="32" max="32" width="1.140625" style="1" customWidth="1"/>
    <col min="33" max="33" width="3.140625" style="1" customWidth="1"/>
    <col min="34" max="35" width="0.7109375" style="1" customWidth="1"/>
    <col min="36" max="36" width="3.140625" style="1" customWidth="1"/>
    <col min="37" max="37" width="1.140625" style="1" customWidth="1"/>
    <col min="38" max="38" width="3.140625" style="1" customWidth="1"/>
    <col min="39" max="40" width="0.7109375" style="1" customWidth="1"/>
    <col min="41" max="41" width="3.140625" style="1" customWidth="1"/>
    <col min="42" max="42" width="1.140625" style="1" customWidth="1"/>
    <col min="43" max="43" width="3.140625" style="1" customWidth="1"/>
    <col min="44" max="45" width="0.7109375" style="1" customWidth="1"/>
    <col min="46" max="46" width="3.140625" style="1" customWidth="1"/>
    <col min="47" max="47" width="1.140625" style="1" customWidth="1"/>
    <col min="48" max="48" width="3.140625" style="1" customWidth="1"/>
    <col min="49" max="50" width="0.7109375" style="1" customWidth="1"/>
    <col min="51" max="51" width="3.140625" style="1" customWidth="1"/>
    <col min="52" max="52" width="1.140625" style="1" customWidth="1"/>
    <col min="53" max="53" width="3.140625" style="1" customWidth="1"/>
    <col min="54" max="54" width="0.7109375" style="1" customWidth="1"/>
    <col min="55" max="55" width="7" style="1" customWidth="1"/>
    <col min="56" max="56" width="8.85546875" style="1" customWidth="1" outlineLevel="1"/>
    <col min="57" max="57" width="9" style="1" customWidth="1"/>
    <col min="58" max="60" width="7" style="1" customWidth="1" outlineLevel="1"/>
    <col min="61" max="61" width="9.140625" style="1"/>
    <col min="62" max="62" width="6.85546875" style="1" hidden="1" customWidth="1" outlineLevel="1"/>
    <col min="63" max="108" width="4.28515625" style="1" hidden="1" customWidth="1" outlineLevel="1"/>
    <col min="109" max="109" width="9.140625" style="1" collapsed="1"/>
    <col min="110" max="110" width="9.140625" style="1" customWidth="1"/>
    <col min="111" max="111" width="9.140625" style="1" customWidth="1" outlineLevel="1"/>
    <col min="112" max="16384" width="9.140625" style="1"/>
  </cols>
  <sheetData>
    <row r="2" spans="2:111" ht="54" customHeight="1" x14ac:dyDescent="0.4">
      <c r="B2" s="380" t="str">
        <f>'Общее расписание'!$C$1</f>
        <v>ЧЕМПИОНАТ РЕСПУБЛИКИ КРЫМ сезона 2023 г. 
по настольному теннису среди команд ВЫСШЕЙ ЛИГИ (3 тур)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0"/>
      <c r="AP2" s="380"/>
      <c r="AQ2" s="380"/>
      <c r="AR2" s="380"/>
      <c r="AS2" s="380"/>
      <c r="AT2" s="380"/>
      <c r="AU2" s="380"/>
      <c r="AV2" s="380"/>
      <c r="AW2" s="380"/>
      <c r="AX2" s="380"/>
      <c r="AY2" s="380"/>
      <c r="AZ2" s="380"/>
      <c r="BA2" s="380"/>
      <c r="BB2" s="380"/>
      <c r="BC2" s="380"/>
      <c r="BD2" s="380"/>
      <c r="BE2" s="380"/>
      <c r="BF2" s="380"/>
      <c r="BG2" s="380"/>
      <c r="BH2" s="380"/>
    </row>
    <row r="3" spans="2:111" ht="27.75" x14ac:dyDescent="0.4">
      <c r="B3" s="380" t="str">
        <f>'Общее расписание'!$C$2</f>
        <v>г. Симферополь, 28 - 29 октября 2023 г.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0"/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</row>
    <row r="5" spans="2:111" ht="25.5" customHeight="1" x14ac:dyDescent="0.25">
      <c r="B5" s="205" t="s">
        <v>2</v>
      </c>
      <c r="C5" s="179" t="s">
        <v>3</v>
      </c>
      <c r="D5" s="179" t="s">
        <v>124</v>
      </c>
      <c r="E5" s="381">
        <v>1</v>
      </c>
      <c r="F5" s="364"/>
      <c r="G5" s="364"/>
      <c r="H5" s="364"/>
      <c r="I5" s="364"/>
      <c r="J5" s="364">
        <v>2</v>
      </c>
      <c r="K5" s="364"/>
      <c r="L5" s="364"/>
      <c r="M5" s="364"/>
      <c r="N5" s="364"/>
      <c r="O5" s="364">
        <v>3</v>
      </c>
      <c r="P5" s="364"/>
      <c r="Q5" s="364"/>
      <c r="R5" s="364"/>
      <c r="S5" s="364"/>
      <c r="T5" s="364">
        <v>4</v>
      </c>
      <c r="U5" s="364"/>
      <c r="V5" s="364"/>
      <c r="W5" s="364"/>
      <c r="X5" s="364"/>
      <c r="Y5" s="364">
        <v>5</v>
      </c>
      <c r="Z5" s="364"/>
      <c r="AA5" s="364"/>
      <c r="AB5" s="364"/>
      <c r="AC5" s="364"/>
      <c r="AD5" s="364">
        <v>6</v>
      </c>
      <c r="AE5" s="364"/>
      <c r="AF5" s="364"/>
      <c r="AG5" s="364"/>
      <c r="AH5" s="364"/>
      <c r="AI5" s="364">
        <v>7</v>
      </c>
      <c r="AJ5" s="364"/>
      <c r="AK5" s="364"/>
      <c r="AL5" s="364"/>
      <c r="AM5" s="364"/>
      <c r="AN5" s="364">
        <v>8</v>
      </c>
      <c r="AO5" s="364"/>
      <c r="AP5" s="364"/>
      <c r="AQ5" s="364"/>
      <c r="AR5" s="364"/>
      <c r="AS5" s="364">
        <v>9</v>
      </c>
      <c r="AT5" s="364"/>
      <c r="AU5" s="364"/>
      <c r="AV5" s="364"/>
      <c r="AW5" s="364"/>
      <c r="AX5" s="364">
        <v>10</v>
      </c>
      <c r="AY5" s="364"/>
      <c r="AZ5" s="364"/>
      <c r="BA5" s="364"/>
      <c r="BB5" s="364"/>
      <c r="BC5" s="179" t="s">
        <v>118</v>
      </c>
      <c r="BD5" s="179" t="s">
        <v>116</v>
      </c>
      <c r="BE5" s="179" t="s">
        <v>117</v>
      </c>
      <c r="BF5" s="179" t="s">
        <v>125</v>
      </c>
      <c r="BG5" s="179" t="s">
        <v>126</v>
      </c>
      <c r="BH5" s="179" t="s">
        <v>127</v>
      </c>
      <c r="BJ5" s="206"/>
      <c r="BK5" s="206">
        <v>1</v>
      </c>
      <c r="BL5" s="206"/>
      <c r="BM5" s="206"/>
      <c r="BN5" s="206"/>
      <c r="BO5" s="206"/>
      <c r="BP5" s="206">
        <v>2</v>
      </c>
      <c r="BQ5" s="206"/>
      <c r="BR5" s="206"/>
      <c r="BS5" s="206"/>
      <c r="BT5" s="206"/>
      <c r="BU5" s="206">
        <v>3</v>
      </c>
      <c r="BV5" s="206"/>
      <c r="BW5" s="206"/>
      <c r="BX5" s="206"/>
      <c r="BY5" s="206"/>
      <c r="BZ5" s="206">
        <v>4</v>
      </c>
      <c r="CA5" s="206"/>
      <c r="CB5" s="206"/>
      <c r="CC5" s="206"/>
      <c r="CD5" s="206"/>
      <c r="CE5" s="206">
        <v>5</v>
      </c>
      <c r="CF5" s="206"/>
      <c r="CG5" s="206"/>
      <c r="CH5" s="206"/>
      <c r="CI5" s="206"/>
      <c r="CJ5" s="206">
        <v>6</v>
      </c>
      <c r="CK5" s="206"/>
      <c r="CL5" s="206"/>
      <c r="CM5" s="206"/>
      <c r="CN5" s="206"/>
      <c r="CO5" s="206">
        <v>7</v>
      </c>
      <c r="CP5" s="206"/>
      <c r="CQ5" s="206"/>
      <c r="CR5" s="206"/>
      <c r="CS5" s="206"/>
      <c r="CT5" s="206">
        <v>8</v>
      </c>
      <c r="CU5" s="206"/>
      <c r="CV5" s="206"/>
      <c r="CW5" s="206"/>
      <c r="CX5" s="206"/>
      <c r="CY5" s="206">
        <v>9</v>
      </c>
      <c r="CZ5" s="206"/>
      <c r="DA5" s="206"/>
      <c r="DB5" s="206"/>
      <c r="DC5" s="206"/>
      <c r="DD5" s="206">
        <v>10</v>
      </c>
    </row>
    <row r="6" spans="2:111" ht="21" customHeight="1" x14ac:dyDescent="0.3">
      <c r="B6" s="364">
        <v>1</v>
      </c>
      <c r="C6" s="365" t="str">
        <f>SUBSTITUTE(SUBSTITUTE(VLOOKUP(B6,Список!B:N,12,FALSE),")",""),"(","")</f>
        <v>"РУСИЧИ" г.Симферополь</v>
      </c>
      <c r="D6" s="376"/>
      <c r="E6" s="378"/>
      <c r="F6" s="378"/>
      <c r="G6" s="378"/>
      <c r="H6" s="378"/>
      <c r="I6" s="379"/>
      <c r="J6" s="167"/>
      <c r="K6" s="363">
        <f ca="1">IF(K7="","",IF(K7=3,2,IF(K7="wo",0,1)))</f>
        <v>2</v>
      </c>
      <c r="L6" s="363"/>
      <c r="M6" s="363"/>
      <c r="N6" s="180"/>
      <c r="O6" s="181"/>
      <c r="P6" s="363">
        <f ca="1">IF(P7="","",IF(P7=3,2,IF(P7="wo",0,1)))</f>
        <v>2</v>
      </c>
      <c r="Q6" s="363"/>
      <c r="R6" s="363"/>
      <c r="S6" s="180"/>
      <c r="T6" s="181"/>
      <c r="U6" s="363">
        <f ca="1">IF(U7="","",IF(U7=3,2,IF(U7="wo",0,1)))</f>
        <v>2</v>
      </c>
      <c r="V6" s="363"/>
      <c r="W6" s="363"/>
      <c r="X6" s="180"/>
      <c r="Y6" s="182"/>
      <c r="Z6" s="375" t="str">
        <f ca="1">IF(Z7="","",IF(Z7=3,2,IF(Z7="wo",0,1)))</f>
        <v/>
      </c>
      <c r="AA6" s="375"/>
      <c r="AB6" s="375"/>
      <c r="AC6" s="183"/>
      <c r="AD6" s="182"/>
      <c r="AE6" s="375">
        <f ca="1">IF(AE7="","",IF(AE7=3,2,IF(AE7="wo",0,1)))</f>
        <v>2</v>
      </c>
      <c r="AF6" s="375"/>
      <c r="AG6" s="375"/>
      <c r="AH6" s="183"/>
      <c r="AI6" s="181"/>
      <c r="AJ6" s="363">
        <f ca="1">IF(AJ7="","",IF(AJ7=3,2,IF(AJ7="wo",0,1)))</f>
        <v>2</v>
      </c>
      <c r="AK6" s="363"/>
      <c r="AL6" s="363"/>
      <c r="AM6" s="180"/>
      <c r="AN6" s="181"/>
      <c r="AO6" s="363">
        <f ca="1">IF(AO7="","",IF(AO7=3,2,IF(AO7="wo",0,1)))</f>
        <v>2</v>
      </c>
      <c r="AP6" s="363"/>
      <c r="AQ6" s="363"/>
      <c r="AR6" s="180"/>
      <c r="AS6" s="181"/>
      <c r="AT6" s="363">
        <f ca="1">IF(AT7="","",IF(AT7=3,2,IF(AT7="wo",0,1)))</f>
        <v>2</v>
      </c>
      <c r="AU6" s="363"/>
      <c r="AV6" s="363"/>
      <c r="AW6" s="180"/>
      <c r="AX6" s="181"/>
      <c r="AY6" s="363">
        <f ca="1">IF(AY7="","",IF(AY7=3,2,IF(AY7="wo",0,1)))</f>
        <v>2</v>
      </c>
      <c r="AZ6" s="363"/>
      <c r="BA6" s="363"/>
      <c r="BB6" s="168"/>
      <c r="BC6" s="362">
        <f ca="1">SUM(E6:BB6)</f>
        <v>16</v>
      </c>
      <c r="BD6" s="362"/>
      <c r="BE6" s="361">
        <f ca="1">IF(DF6="",_xlfn.RANK.EQ(BC6,$BC$6:$BC$25),DF6)</f>
        <v>1</v>
      </c>
      <c r="BF6" s="362">
        <f ca="1">BC6+D6</f>
        <v>16</v>
      </c>
      <c r="BG6" s="373"/>
      <c r="BH6" s="361">
        <f ca="1">IF(DG6="",_xlfn.RANK.EQ(BF6,$BF$6:$BF$25),DG6)</f>
        <v>1</v>
      </c>
      <c r="BJ6" s="359">
        <v>1</v>
      </c>
      <c r="BK6" s="360" t="e">
        <v>#N/A</v>
      </c>
      <c r="BL6" s="207"/>
      <c r="BM6" s="207"/>
      <c r="BN6" s="207"/>
      <c r="BO6" s="207"/>
      <c r="BP6" s="359">
        <v>41</v>
      </c>
      <c r="BQ6" s="207"/>
      <c r="BR6" s="207"/>
      <c r="BS6" s="207"/>
      <c r="BT6" s="207"/>
      <c r="BU6" s="359">
        <v>31</v>
      </c>
      <c r="BV6" s="206"/>
      <c r="BW6" s="206"/>
      <c r="BX6" s="206"/>
      <c r="BY6" s="206"/>
      <c r="BZ6" s="359">
        <v>26</v>
      </c>
      <c r="CA6" s="206"/>
      <c r="CB6" s="206"/>
      <c r="CC6" s="206"/>
      <c r="CD6" s="206"/>
      <c r="CE6" s="359">
        <v>22</v>
      </c>
      <c r="CF6" s="206"/>
      <c r="CG6" s="206"/>
      <c r="CH6" s="206"/>
      <c r="CI6" s="206"/>
      <c r="CJ6" s="359">
        <v>16</v>
      </c>
      <c r="CK6" s="206"/>
      <c r="CL6" s="206"/>
      <c r="CM6" s="206"/>
      <c r="CN6" s="206"/>
      <c r="CO6" s="359">
        <v>12</v>
      </c>
      <c r="CP6" s="206"/>
      <c r="CQ6" s="206"/>
      <c r="CR6" s="206"/>
      <c r="CS6" s="206"/>
      <c r="CT6" s="359">
        <v>8</v>
      </c>
      <c r="CU6" s="206"/>
      <c r="CV6" s="206"/>
      <c r="CW6" s="206"/>
      <c r="CX6" s="206"/>
      <c r="CY6" s="359">
        <v>4</v>
      </c>
      <c r="CZ6" s="206"/>
      <c r="DA6" s="206"/>
      <c r="DB6" s="206"/>
      <c r="DC6" s="206"/>
      <c r="DD6" s="359">
        <v>38</v>
      </c>
      <c r="DF6" s="358"/>
      <c r="DG6" s="358"/>
    </row>
    <row r="7" spans="2:111" ht="21" customHeight="1" x14ac:dyDescent="0.25">
      <c r="B7" s="364"/>
      <c r="C7" s="365"/>
      <c r="D7" s="377"/>
      <c r="E7" s="371"/>
      <c r="F7" s="371"/>
      <c r="G7" s="371"/>
      <c r="H7" s="371"/>
      <c r="I7" s="372"/>
      <c r="J7" s="169"/>
      <c r="K7" s="204">
        <f ca="1">IF(INDIRECT(ADDRESS(11,2,1,0,BP6),FALSE)=$B6,INDIRECT(ADDRESS(21,209,1,0,BP6),FALSE),INDIRECT(ADDRESS(21,216,1,0,BP6),FALSE))</f>
        <v>3</v>
      </c>
      <c r="L7" s="204" t="str">
        <f ca="1">IF(OR(K7=3,M7=3),":","")</f>
        <v>:</v>
      </c>
      <c r="M7" s="204">
        <f ca="1">IF(INDIRECT(ADDRESS(11,2,1,0,BP6),FALSE)=$B6,INDIRECT(ADDRESS(21,216,1,0,BP6),FALSE),INDIRECT(ADDRESS(21,209,1,0,BP6),FALSE))</f>
        <v>1</v>
      </c>
      <c r="N7" s="170"/>
      <c r="O7" s="169"/>
      <c r="P7" s="204">
        <f ca="1">IF(INDIRECT(ADDRESS(11,2,1,0,BU6),FALSE)=$B6,INDIRECT(ADDRESS(21,209,1,0,BU6),FALSE),INDIRECT(ADDRESS(21,216,1,0,BU6),FALSE))</f>
        <v>3</v>
      </c>
      <c r="Q7" s="204" t="str">
        <f ca="1">IF(OR(P7=3,R7=3),":","")</f>
        <v>:</v>
      </c>
      <c r="R7" s="204">
        <f ca="1">IF(INDIRECT(ADDRESS(11,2,1,0,BU6),FALSE)=$B6,INDIRECT(ADDRESS(21,216,1,0,BU6),FALSE),INDIRECT(ADDRESS(21,209,1,0,BU6),FALSE))</f>
        <v>1</v>
      </c>
      <c r="S7" s="170"/>
      <c r="T7" s="169"/>
      <c r="U7" s="204">
        <f ca="1">IF(INDIRECT(ADDRESS(11,2,1,0,BZ6),FALSE)=$B6,INDIRECT(ADDRESS(21,209,1,0,BZ6),FALSE),INDIRECT(ADDRESS(21,216,1,0,BZ6),FALSE))</f>
        <v>3</v>
      </c>
      <c r="V7" s="204" t="str">
        <f ca="1">IF(OR(U7=3,W7=3),":","")</f>
        <v>:</v>
      </c>
      <c r="W7" s="204">
        <f ca="1">IF(INDIRECT(ADDRESS(11,2,1,0,BZ6),FALSE)=$B6,INDIRECT(ADDRESS(21,216,1,0,BZ6),FALSE),INDIRECT(ADDRESS(21,209,1,0,BZ6),FALSE))</f>
        <v>1</v>
      </c>
      <c r="X7" s="170"/>
      <c r="Y7" s="176"/>
      <c r="Z7" s="177" t="str">
        <f ca="1">IF(INDIRECT(ADDRESS(11,2,1,0,CE6),FALSE)=$B6,INDIRECT(ADDRESS(21,209,1,0,CE6),FALSE),INDIRECT(ADDRESS(21,216,1,0,CE6),FALSE))</f>
        <v/>
      </c>
      <c r="AA7" s="177" t="str">
        <f ca="1">IF(OR(Z7=3,AB7=3),":","")</f>
        <v/>
      </c>
      <c r="AB7" s="177" t="str">
        <f ca="1">IF(INDIRECT(ADDRESS(11,2,1,0,CE6),FALSE)=$B6,INDIRECT(ADDRESS(21,216,1,0,CE6),FALSE),INDIRECT(ADDRESS(21,209,1,0,CE6),FALSE))</f>
        <v/>
      </c>
      <c r="AC7" s="178"/>
      <c r="AD7" s="176"/>
      <c r="AE7" s="177">
        <f ca="1">IF(INDIRECT(ADDRESS(11,2,1,0,CJ6),FALSE)=$B6,INDIRECT(ADDRESS(21,209,1,0,CJ6),FALSE),INDIRECT(ADDRESS(21,216,1,0,CJ6),FALSE))</f>
        <v>3</v>
      </c>
      <c r="AF7" s="177" t="str">
        <f ca="1">IF(OR(AE7=3,AG7=3),":","")</f>
        <v>:</v>
      </c>
      <c r="AG7" s="177">
        <f ca="1">IF(INDIRECT(ADDRESS(11,2,1,0,CJ6),FALSE)=$B6,INDIRECT(ADDRESS(21,216,1,0,CJ6),FALSE),INDIRECT(ADDRESS(21,209,1,0,CJ6),FALSE))</f>
        <v>0</v>
      </c>
      <c r="AH7" s="178"/>
      <c r="AI7" s="169"/>
      <c r="AJ7" s="204">
        <f ca="1">IF(INDIRECT(ADDRESS(11,2,1,0,CO6),FALSE)=$B6,INDIRECT(ADDRESS(21,209,1,0,CO6),FALSE),INDIRECT(ADDRESS(21,216,1,0,CO6),FALSE))</f>
        <v>3</v>
      </c>
      <c r="AK7" s="204" t="str">
        <f ca="1">IF(OR(AJ7=3,AL7=3),":","")</f>
        <v>:</v>
      </c>
      <c r="AL7" s="204">
        <f ca="1">IF(INDIRECT(ADDRESS(11,2,1,0,CO6),FALSE)=$B6,INDIRECT(ADDRESS(21,216,1,0,CO6),FALSE),INDIRECT(ADDRESS(21,209,1,0,CO6),FALSE))</f>
        <v>0</v>
      </c>
      <c r="AM7" s="170"/>
      <c r="AN7" s="169"/>
      <c r="AO7" s="204">
        <f ca="1">IF(INDIRECT(ADDRESS(11,2,1,0,CT6),FALSE)=$B6,INDIRECT(ADDRESS(21,209,1,0,CT6),FALSE),INDIRECT(ADDRESS(21,216,1,0,CT6),FALSE))</f>
        <v>3</v>
      </c>
      <c r="AP7" s="204" t="str">
        <f ca="1">IF(OR(AO7=3,AQ7=3),":","")</f>
        <v>:</v>
      </c>
      <c r="AQ7" s="204">
        <f ca="1">IF(INDIRECT(ADDRESS(11,2,1,0,CT6),FALSE)=$B6,INDIRECT(ADDRESS(21,216,1,0,CT6),FALSE),INDIRECT(ADDRESS(21,209,1,0,CT6),FALSE))</f>
        <v>1</v>
      </c>
      <c r="AR7" s="170"/>
      <c r="AS7" s="169"/>
      <c r="AT7" s="204">
        <f ca="1">IF(INDIRECT(ADDRESS(11,2,1,0,CY6),FALSE)=$B6,INDIRECT(ADDRESS(21,209,1,0,CY6),FALSE),INDIRECT(ADDRESS(21,216,1,0,CY6),FALSE))</f>
        <v>3</v>
      </c>
      <c r="AU7" s="204" t="str">
        <f ca="1">IF(OR(AT7=3,AV7=3),":","")</f>
        <v>:</v>
      </c>
      <c r="AV7" s="204">
        <f ca="1">IF(INDIRECT(ADDRESS(11,2,1,0,CY6),FALSE)=$B6,INDIRECT(ADDRESS(21,216,1,0,CY6),FALSE),INDIRECT(ADDRESS(21,209,1,0,CY6),FALSE))</f>
        <v>0</v>
      </c>
      <c r="AW7" s="170"/>
      <c r="AX7" s="169"/>
      <c r="AY7" s="204">
        <f ca="1">IF(INDIRECT(ADDRESS(11,2,1,0,DD6),FALSE)=$B6,INDIRECT(ADDRESS(21,209,1,0,DD6),FALSE),INDIRECT(ADDRESS(21,216,1,0,DD6),FALSE))</f>
        <v>3</v>
      </c>
      <c r="AZ7" s="204" t="str">
        <f ca="1">IF(OR(AY7=3,BA7=3),":","")</f>
        <v>:</v>
      </c>
      <c r="BA7" s="204">
        <f ca="1">IF(INDIRECT(ADDRESS(11,2,1,0,DD6),FALSE)=$B6,INDIRECT(ADDRESS(21,216,1,0,DD6),FALSE),INDIRECT(ADDRESS(21,209,1,0,DD6),FALSE))</f>
        <v>0</v>
      </c>
      <c r="BB7" s="171"/>
      <c r="BC7" s="362"/>
      <c r="BD7" s="362"/>
      <c r="BE7" s="361"/>
      <c r="BF7" s="362"/>
      <c r="BG7" s="373"/>
      <c r="BH7" s="361"/>
      <c r="BJ7" s="359"/>
      <c r="BK7" s="360"/>
      <c r="BL7" s="207"/>
      <c r="BM7" s="207"/>
      <c r="BN7" s="207"/>
      <c r="BO7" s="207"/>
      <c r="BP7" s="359"/>
      <c r="BQ7" s="207"/>
      <c r="BR7" s="207"/>
      <c r="BS7" s="207"/>
      <c r="BT7" s="207"/>
      <c r="BU7" s="359"/>
      <c r="BV7" s="206"/>
      <c r="BW7" s="206"/>
      <c r="BX7" s="206"/>
      <c r="BY7" s="206"/>
      <c r="BZ7" s="359"/>
      <c r="CA7" s="206"/>
      <c r="CB7" s="206"/>
      <c r="CC7" s="206"/>
      <c r="CD7" s="206"/>
      <c r="CE7" s="359"/>
      <c r="CF7" s="206"/>
      <c r="CG7" s="206"/>
      <c r="CH7" s="206"/>
      <c r="CI7" s="206"/>
      <c r="CJ7" s="359"/>
      <c r="CK7" s="206"/>
      <c r="CL7" s="206"/>
      <c r="CM7" s="206"/>
      <c r="CN7" s="206"/>
      <c r="CO7" s="359"/>
      <c r="CP7" s="206"/>
      <c r="CQ7" s="206"/>
      <c r="CR7" s="206"/>
      <c r="CS7" s="206"/>
      <c r="CT7" s="359"/>
      <c r="CU7" s="206"/>
      <c r="CV7" s="206"/>
      <c r="CW7" s="206"/>
      <c r="CX7" s="206"/>
      <c r="CY7" s="359"/>
      <c r="CZ7" s="206"/>
      <c r="DA7" s="206"/>
      <c r="DB7" s="206"/>
      <c r="DC7" s="206"/>
      <c r="DD7" s="359"/>
      <c r="DF7" s="358"/>
      <c r="DG7" s="358"/>
    </row>
    <row r="8" spans="2:111" ht="21" customHeight="1" x14ac:dyDescent="0.3">
      <c r="B8" s="364">
        <v>2</v>
      </c>
      <c r="C8" s="365" t="str">
        <f>SUBSTITUTE(SUBSTITUTE(VLOOKUP(B8,Список!B:N,12,FALSE),")",""),"(","")</f>
        <v>«Аэропорт - СШ №3» г.Симферополь</v>
      </c>
      <c r="D8" s="362"/>
      <c r="E8" s="172"/>
      <c r="F8" s="363">
        <f ca="1">IF(F9="","",IF(F9=3,2,IF(F9="wo",0,1)))</f>
        <v>1</v>
      </c>
      <c r="G8" s="363"/>
      <c r="H8" s="363"/>
      <c r="I8" s="173"/>
      <c r="J8" s="367"/>
      <c r="K8" s="368"/>
      <c r="L8" s="368"/>
      <c r="M8" s="368"/>
      <c r="N8" s="369"/>
      <c r="O8" s="174"/>
      <c r="P8" s="363" t="str">
        <f ca="1">IF(P9="","",IF(P9=3,2,IF(P9="wo",0,1)))</f>
        <v/>
      </c>
      <c r="Q8" s="363"/>
      <c r="R8" s="363"/>
      <c r="S8" s="184"/>
      <c r="T8" s="185"/>
      <c r="U8" s="363" t="str">
        <f ca="1">IF(U9="","",IF(U9=3,2,IF(U9="wo",0,1)))</f>
        <v/>
      </c>
      <c r="V8" s="363"/>
      <c r="W8" s="363"/>
      <c r="X8" s="184"/>
      <c r="Y8" s="185"/>
      <c r="Z8" s="363">
        <f ca="1">IF(Z9="","",IF(Z9=3,2,IF(Z9="wo",0,1)))</f>
        <v>2</v>
      </c>
      <c r="AA8" s="363"/>
      <c r="AB8" s="363"/>
      <c r="AC8" s="184"/>
      <c r="AD8" s="185"/>
      <c r="AE8" s="363">
        <f ca="1">IF(AE9="","",IF(AE9=3,2,IF(AE9="wo",0,1)))</f>
        <v>2</v>
      </c>
      <c r="AF8" s="363"/>
      <c r="AG8" s="363"/>
      <c r="AH8" s="184"/>
      <c r="AI8" s="185"/>
      <c r="AJ8" s="363">
        <f ca="1">IF(AJ9="","",IF(AJ9=3,2,IF(AJ9="wo",0,1)))</f>
        <v>1</v>
      </c>
      <c r="AK8" s="363"/>
      <c r="AL8" s="363"/>
      <c r="AM8" s="184"/>
      <c r="AN8" s="185"/>
      <c r="AO8" s="363">
        <f ca="1">IF(AO9="","",IF(AO9=3,2,IF(AO9="wo",0,1)))</f>
        <v>2</v>
      </c>
      <c r="AP8" s="363"/>
      <c r="AQ8" s="363"/>
      <c r="AR8" s="184"/>
      <c r="AS8" s="185"/>
      <c r="AT8" s="363">
        <f ca="1">IF(AT9="","",IF(AT9=3,2,IF(AT9="wo",0,1)))</f>
        <v>2</v>
      </c>
      <c r="AU8" s="363"/>
      <c r="AV8" s="363"/>
      <c r="AW8" s="184"/>
      <c r="AX8" s="185"/>
      <c r="AY8" s="363">
        <f ca="1">IF(AY9="","",IF(AY9=3,2,IF(AY9="wo",0,1)))</f>
        <v>2</v>
      </c>
      <c r="AZ8" s="363"/>
      <c r="BA8" s="363"/>
      <c r="BB8" s="175"/>
      <c r="BC8" s="362">
        <f ca="1">SUM(E8:BB8)</f>
        <v>12</v>
      </c>
      <c r="BD8" s="362"/>
      <c r="BE8" s="361">
        <f ca="1">IF(DF8="",_xlfn.RANK.EQ(BC8,$BC$6:$BC$25),DF8)</f>
        <v>4</v>
      </c>
      <c r="BF8" s="362">
        <f ca="1">BC8+D8</f>
        <v>12</v>
      </c>
      <c r="BG8" s="373"/>
      <c r="BH8" s="361">
        <f ca="1">IF(DG8="",_xlfn.RANK.EQ(BF8,$BF$6:$BF$25),DG8)</f>
        <v>4</v>
      </c>
      <c r="BJ8" s="359">
        <v>2</v>
      </c>
      <c r="BK8" s="359">
        <v>41</v>
      </c>
      <c r="BL8" s="206"/>
      <c r="BM8" s="206"/>
      <c r="BN8" s="206"/>
      <c r="BO8" s="206"/>
      <c r="BP8" s="360" t="e">
        <v>#N/A</v>
      </c>
      <c r="BQ8" s="206"/>
      <c r="BR8" s="206"/>
      <c r="BS8" s="206"/>
      <c r="BT8" s="206"/>
      <c r="BU8" s="359">
        <v>36</v>
      </c>
      <c r="BV8" s="206"/>
      <c r="BW8" s="206"/>
      <c r="BX8" s="206"/>
      <c r="BY8" s="206"/>
      <c r="BZ8" s="359">
        <v>21</v>
      </c>
      <c r="CA8" s="206"/>
      <c r="CB8" s="206"/>
      <c r="CC8" s="206"/>
      <c r="CD8" s="206"/>
      <c r="CE8" s="359">
        <v>32</v>
      </c>
      <c r="CF8" s="206"/>
      <c r="CG8" s="206"/>
      <c r="CH8" s="206"/>
      <c r="CI8" s="206"/>
      <c r="CJ8" s="359">
        <v>11</v>
      </c>
      <c r="CK8" s="206"/>
      <c r="CL8" s="206"/>
      <c r="CM8" s="206"/>
      <c r="CN8" s="206"/>
      <c r="CO8" s="359">
        <v>6</v>
      </c>
      <c r="CP8" s="206"/>
      <c r="CQ8" s="206"/>
      <c r="CR8" s="206"/>
      <c r="CS8" s="206"/>
      <c r="CT8" s="359">
        <v>2</v>
      </c>
      <c r="CU8" s="206"/>
      <c r="CV8" s="206"/>
      <c r="CW8" s="206"/>
      <c r="CX8" s="206"/>
      <c r="CY8" s="359">
        <v>28</v>
      </c>
      <c r="CZ8" s="206"/>
      <c r="DA8" s="206"/>
      <c r="DB8" s="206"/>
      <c r="DC8" s="206"/>
      <c r="DD8" s="359">
        <v>17</v>
      </c>
      <c r="DF8" s="358"/>
      <c r="DG8" s="358"/>
    </row>
    <row r="9" spans="2:111" ht="21" customHeight="1" x14ac:dyDescent="0.25">
      <c r="B9" s="364"/>
      <c r="C9" s="365"/>
      <c r="D9" s="362"/>
      <c r="E9" s="204"/>
      <c r="F9" s="204">
        <f ca="1">IF(INDIRECT(ADDRESS(11,2,1,0,BK8),FALSE)=$B8,INDIRECT(ADDRESS(21,209,1,0,BK8),FALSE),INDIRECT(ADDRESS(21,216,1,0,BK8),FALSE))</f>
        <v>1</v>
      </c>
      <c r="G9" s="204" t="str">
        <f ca="1">IF(OR(F9=3,H9=3),":","")</f>
        <v>:</v>
      </c>
      <c r="H9" s="204">
        <f ca="1">IF(INDIRECT(ADDRESS(11,2,1,0,BK8),FALSE)=$B8,INDIRECT(ADDRESS(21,216,1,0,BK8),FALSE),INDIRECT(ADDRESS(21,209,1,0,BK8),FALSE))</f>
        <v>3</v>
      </c>
      <c r="I9" s="170"/>
      <c r="J9" s="370"/>
      <c r="K9" s="371"/>
      <c r="L9" s="371"/>
      <c r="M9" s="371"/>
      <c r="N9" s="372"/>
      <c r="O9" s="169"/>
      <c r="P9" s="204" t="str">
        <f ca="1">IF(INDIRECT(ADDRESS(11,2,1,0,BU8),FALSE)=$B8,INDIRECT(ADDRESS(21,209,1,0,BU8),FALSE),INDIRECT(ADDRESS(21,216,1,0,BU8),FALSE))</f>
        <v/>
      </c>
      <c r="Q9" s="204" t="str">
        <f ca="1">IF(OR(P9=3,R9=3),":","")</f>
        <v/>
      </c>
      <c r="R9" s="204" t="str">
        <f ca="1">IF(INDIRECT(ADDRESS(11,2,1,0,BU8),FALSE)=$B8,INDIRECT(ADDRESS(21,216,1,0,BU8),FALSE),INDIRECT(ADDRESS(21,209,1,0,BU8),FALSE))</f>
        <v/>
      </c>
      <c r="S9" s="170"/>
      <c r="T9" s="169"/>
      <c r="U9" s="204" t="str">
        <f ca="1">IF(INDIRECT(ADDRESS(11,2,1,0,BZ8),FALSE)=$B8,INDIRECT(ADDRESS(21,209,1,0,BZ8),FALSE),INDIRECT(ADDRESS(21,216,1,0,BZ8),FALSE))</f>
        <v/>
      </c>
      <c r="V9" s="204" t="str">
        <f ca="1">IF(OR(U9=3,W9=3),":","")</f>
        <v/>
      </c>
      <c r="W9" s="204" t="str">
        <f ca="1">IF(INDIRECT(ADDRESS(11,2,1,0,BZ8),FALSE)=$B8,INDIRECT(ADDRESS(21,216,1,0,BZ8),FALSE),INDIRECT(ADDRESS(21,209,1,0,BZ8),FALSE))</f>
        <v/>
      </c>
      <c r="X9" s="170"/>
      <c r="Y9" s="169"/>
      <c r="Z9" s="204">
        <f ca="1">IF(INDIRECT(ADDRESS(11,2,1,0,CE8),FALSE)=$B8,INDIRECT(ADDRESS(21,209,1,0,CE8),FALSE),INDIRECT(ADDRESS(21,216,1,0,CE8),FALSE))</f>
        <v>3</v>
      </c>
      <c r="AA9" s="204" t="str">
        <f ca="1">IF(OR(Z9=3,AB9=3),":","")</f>
        <v>:</v>
      </c>
      <c r="AB9" s="204">
        <f ca="1">IF(INDIRECT(ADDRESS(11,2,1,0,CE8),FALSE)=$B8,INDIRECT(ADDRESS(21,216,1,0,CE8),FALSE),INDIRECT(ADDRESS(21,209,1,0,CE8),FALSE))</f>
        <v>0</v>
      </c>
      <c r="AC9" s="170"/>
      <c r="AD9" s="169"/>
      <c r="AE9" s="204">
        <f ca="1">IF(INDIRECT(ADDRESS(11,2,1,0,CJ8),FALSE)=$B8,INDIRECT(ADDRESS(21,209,1,0,CJ8),FALSE),INDIRECT(ADDRESS(21,216,1,0,CJ8),FALSE))</f>
        <v>3</v>
      </c>
      <c r="AF9" s="204" t="str">
        <f ca="1">IF(OR(AE9=3,AG9=3),":","")</f>
        <v>:</v>
      </c>
      <c r="AG9" s="204">
        <f ca="1">IF(INDIRECT(ADDRESS(11,2,1,0,CJ8),FALSE)=$B8,INDIRECT(ADDRESS(21,216,1,0,CJ8),FALSE),INDIRECT(ADDRESS(21,209,1,0,CJ8),FALSE))</f>
        <v>0</v>
      </c>
      <c r="AH9" s="170"/>
      <c r="AI9" s="169"/>
      <c r="AJ9" s="204">
        <f ca="1">IF(INDIRECT(ADDRESS(11,2,1,0,CO8),FALSE)=$B8,INDIRECT(ADDRESS(21,209,1,0,CO8),FALSE),INDIRECT(ADDRESS(21,216,1,0,CO8),FALSE))</f>
        <v>2</v>
      </c>
      <c r="AK9" s="204" t="str">
        <f ca="1">IF(OR(AJ9=3,AL9=3),":","")</f>
        <v>:</v>
      </c>
      <c r="AL9" s="204">
        <f ca="1">IF(INDIRECT(ADDRESS(11,2,1,0,CO8),FALSE)=$B8,INDIRECT(ADDRESS(21,216,1,0,CO8),FALSE),INDIRECT(ADDRESS(21,209,1,0,CO8),FALSE))</f>
        <v>3</v>
      </c>
      <c r="AM9" s="170"/>
      <c r="AN9" s="169"/>
      <c r="AO9" s="204">
        <f ca="1">IF(INDIRECT(ADDRESS(11,2,1,0,CT8),FALSE)=$B8,INDIRECT(ADDRESS(21,209,1,0,CT8),FALSE),INDIRECT(ADDRESS(21,216,1,0,CT8),FALSE))</f>
        <v>3</v>
      </c>
      <c r="AP9" s="204" t="str">
        <f ca="1">IF(OR(AO9=3,AQ9=3),":","")</f>
        <v>:</v>
      </c>
      <c r="AQ9" s="204">
        <f ca="1">IF(INDIRECT(ADDRESS(11,2,1,0,CT8),FALSE)=$B8,INDIRECT(ADDRESS(21,216,1,0,CT8),FALSE),INDIRECT(ADDRESS(21,209,1,0,CT8),FALSE))</f>
        <v>1</v>
      </c>
      <c r="AR9" s="170"/>
      <c r="AS9" s="169"/>
      <c r="AT9" s="204">
        <f ca="1">IF(INDIRECT(ADDRESS(11,2,1,0,CY8),FALSE)=$B8,INDIRECT(ADDRESS(21,209,1,0,CY8),FALSE),INDIRECT(ADDRESS(21,216,1,0,CY8),FALSE))</f>
        <v>3</v>
      </c>
      <c r="AU9" s="204" t="str">
        <f ca="1">IF(OR(AT9=3,AV9=3),":","")</f>
        <v>:</v>
      </c>
      <c r="AV9" s="204">
        <f ca="1">IF(INDIRECT(ADDRESS(11,2,1,0,CY8),FALSE)=$B8,INDIRECT(ADDRESS(21,216,1,0,CY8),FALSE),INDIRECT(ADDRESS(21,209,1,0,CY8),FALSE))</f>
        <v>0</v>
      </c>
      <c r="AW9" s="170"/>
      <c r="AX9" s="169"/>
      <c r="AY9" s="204">
        <f ca="1">IF(INDIRECT(ADDRESS(11,2,1,0,DD8),FALSE)=$B8,INDIRECT(ADDRESS(21,209,1,0,DD8),FALSE),INDIRECT(ADDRESS(21,216,1,0,DD8),FALSE))</f>
        <v>3</v>
      </c>
      <c r="AZ9" s="204" t="str">
        <f ca="1">IF(OR(AY9=3,BA9=3),":","")</f>
        <v>:</v>
      </c>
      <c r="BA9" s="204">
        <f ca="1">IF(INDIRECT(ADDRESS(11,2,1,0,DD8),FALSE)=$B8,INDIRECT(ADDRESS(21,216,1,0,DD8),FALSE),INDIRECT(ADDRESS(21,209,1,0,DD8),FALSE))</f>
        <v>1</v>
      </c>
      <c r="BB9" s="171"/>
      <c r="BC9" s="362"/>
      <c r="BD9" s="362"/>
      <c r="BE9" s="361"/>
      <c r="BF9" s="362"/>
      <c r="BG9" s="373"/>
      <c r="BH9" s="361"/>
      <c r="BJ9" s="359"/>
      <c r="BK9" s="359"/>
      <c r="BL9" s="206"/>
      <c r="BM9" s="206"/>
      <c r="BN9" s="206"/>
      <c r="BO9" s="206"/>
      <c r="BP9" s="360"/>
      <c r="BQ9" s="206"/>
      <c r="BR9" s="206"/>
      <c r="BS9" s="206"/>
      <c r="BT9" s="206"/>
      <c r="BU9" s="359"/>
      <c r="BV9" s="206"/>
      <c r="BW9" s="206"/>
      <c r="BX9" s="206"/>
      <c r="BY9" s="206"/>
      <c r="BZ9" s="359"/>
      <c r="CA9" s="206"/>
      <c r="CB9" s="206"/>
      <c r="CC9" s="206"/>
      <c r="CD9" s="206"/>
      <c r="CE9" s="359"/>
      <c r="CF9" s="206"/>
      <c r="CG9" s="206"/>
      <c r="CH9" s="206"/>
      <c r="CI9" s="206"/>
      <c r="CJ9" s="359"/>
      <c r="CK9" s="206"/>
      <c r="CL9" s="206"/>
      <c r="CM9" s="206"/>
      <c r="CN9" s="206"/>
      <c r="CO9" s="359"/>
      <c r="CP9" s="206"/>
      <c r="CQ9" s="206"/>
      <c r="CR9" s="206"/>
      <c r="CS9" s="206"/>
      <c r="CT9" s="359"/>
      <c r="CU9" s="206"/>
      <c r="CV9" s="206"/>
      <c r="CW9" s="206"/>
      <c r="CX9" s="206"/>
      <c r="CY9" s="359"/>
      <c r="CZ9" s="206"/>
      <c r="DA9" s="206"/>
      <c r="DB9" s="206"/>
      <c r="DC9" s="206"/>
      <c r="DD9" s="359"/>
      <c r="DF9" s="358"/>
      <c r="DG9" s="358"/>
    </row>
    <row r="10" spans="2:111" ht="21" customHeight="1" x14ac:dyDescent="0.3">
      <c r="B10" s="364">
        <v>3</v>
      </c>
      <c r="C10" s="365" t="str">
        <f>SUBSTITUTE(SUBSTITUTE(VLOOKUP(B10,Список!B:N,12,FALSE),")",""),"(","")</f>
        <v>«Интер»  г.Евпатория</v>
      </c>
      <c r="D10" s="362"/>
      <c r="E10" s="172"/>
      <c r="F10" s="363">
        <f ca="1">IF(F11="","",IF(F11=3,2,IF(F11="wo",0,1)))</f>
        <v>1</v>
      </c>
      <c r="G10" s="363"/>
      <c r="H10" s="363"/>
      <c r="I10" s="184"/>
      <c r="J10" s="185"/>
      <c r="K10" s="363" t="str">
        <f ca="1">IF(K11="","",IF(K11=3,2,IF(K11="wo",0,1)))</f>
        <v/>
      </c>
      <c r="L10" s="363"/>
      <c r="M10" s="363"/>
      <c r="N10" s="173"/>
      <c r="O10" s="367"/>
      <c r="P10" s="368"/>
      <c r="Q10" s="368"/>
      <c r="R10" s="368"/>
      <c r="S10" s="369"/>
      <c r="T10" s="174"/>
      <c r="U10" s="363">
        <f ca="1">IF(U11="","",IF(U11=3,2,IF(U11="wo",0,1)))</f>
        <v>2</v>
      </c>
      <c r="V10" s="363"/>
      <c r="W10" s="363"/>
      <c r="X10" s="184"/>
      <c r="Y10" s="185"/>
      <c r="Z10" s="363">
        <f ca="1">IF(Z11="","",IF(Z11=3,2,IF(Z11="wo",0,1)))</f>
        <v>2</v>
      </c>
      <c r="AA10" s="363"/>
      <c r="AB10" s="363"/>
      <c r="AC10" s="184"/>
      <c r="AD10" s="185"/>
      <c r="AE10" s="363">
        <f ca="1">IF(AE11="","",IF(AE11=3,2,IF(AE11="wo",0,1)))</f>
        <v>2</v>
      </c>
      <c r="AF10" s="363"/>
      <c r="AG10" s="363"/>
      <c r="AH10" s="184"/>
      <c r="AI10" s="185"/>
      <c r="AJ10" s="363">
        <f ca="1">IF(AJ11="","",IF(AJ11=3,2,IF(AJ11="wo",0,1)))</f>
        <v>2</v>
      </c>
      <c r="AK10" s="363"/>
      <c r="AL10" s="363"/>
      <c r="AM10" s="184"/>
      <c r="AN10" s="185"/>
      <c r="AO10" s="363">
        <f ca="1">IF(AO11="","",IF(AO11=3,2,IF(AO11="wo",0,1)))</f>
        <v>1</v>
      </c>
      <c r="AP10" s="363"/>
      <c r="AQ10" s="363"/>
      <c r="AR10" s="184"/>
      <c r="AS10" s="185"/>
      <c r="AT10" s="363">
        <f ca="1">IF(AT11="","",IF(AT11=3,2,IF(AT11="wo",0,1)))</f>
        <v>2</v>
      </c>
      <c r="AU10" s="363"/>
      <c r="AV10" s="363"/>
      <c r="AW10" s="184"/>
      <c r="AX10" s="185"/>
      <c r="AY10" s="363">
        <f ca="1">IF(AY11="","",IF(AY11=3,2,IF(AY11="wo",0,1)))</f>
        <v>1</v>
      </c>
      <c r="AZ10" s="363"/>
      <c r="BA10" s="363"/>
      <c r="BB10" s="175"/>
      <c r="BC10" s="362">
        <f ca="1">SUM(E10:BB10)</f>
        <v>13</v>
      </c>
      <c r="BD10" s="362"/>
      <c r="BE10" s="361">
        <f ca="1">IF(DF10="",_xlfn.RANK.EQ(BC10,$BC$6:$BC$25),DF10)</f>
        <v>3</v>
      </c>
      <c r="BF10" s="362">
        <f ca="1">BC10+D10</f>
        <v>13</v>
      </c>
      <c r="BG10" s="373"/>
      <c r="BH10" s="361">
        <f ca="1">IF(DG10="",_xlfn.RANK.EQ(BF10,$BF$6:$BF$25),DG10)</f>
        <v>3</v>
      </c>
      <c r="BJ10" s="359">
        <v>3</v>
      </c>
      <c r="BK10" s="359">
        <v>31</v>
      </c>
      <c r="BL10" s="206"/>
      <c r="BM10" s="206"/>
      <c r="BN10" s="206"/>
      <c r="BO10" s="206"/>
      <c r="BP10" s="359">
        <v>36</v>
      </c>
      <c r="BQ10" s="206"/>
      <c r="BR10" s="206"/>
      <c r="BS10" s="206"/>
      <c r="BT10" s="206"/>
      <c r="BU10" s="360" t="e">
        <v>#N/A</v>
      </c>
      <c r="BV10" s="207"/>
      <c r="BW10" s="207"/>
      <c r="BX10" s="207"/>
      <c r="BY10" s="207"/>
      <c r="BZ10" s="359">
        <v>42</v>
      </c>
      <c r="CA10" s="206"/>
      <c r="CB10" s="206"/>
      <c r="CC10" s="206"/>
      <c r="CD10" s="206"/>
      <c r="CE10" s="359">
        <v>27</v>
      </c>
      <c r="CF10" s="206"/>
      <c r="CG10" s="206"/>
      <c r="CH10" s="206"/>
      <c r="CI10" s="206"/>
      <c r="CJ10" s="359">
        <v>7</v>
      </c>
      <c r="CK10" s="206"/>
      <c r="CL10" s="206"/>
      <c r="CM10" s="206"/>
      <c r="CN10" s="206"/>
      <c r="CO10" s="359">
        <v>1</v>
      </c>
      <c r="CP10" s="206"/>
      <c r="CQ10" s="206"/>
      <c r="CR10" s="206"/>
      <c r="CS10" s="206"/>
      <c r="CT10" s="359">
        <v>23</v>
      </c>
      <c r="CU10" s="206"/>
      <c r="CV10" s="206"/>
      <c r="CW10" s="206"/>
      <c r="CX10" s="206"/>
      <c r="CY10" s="359">
        <v>19</v>
      </c>
      <c r="CZ10" s="206"/>
      <c r="DA10" s="206"/>
      <c r="DB10" s="206"/>
      <c r="DC10" s="206"/>
      <c r="DD10" s="359">
        <v>13</v>
      </c>
      <c r="DF10" s="358"/>
      <c r="DG10" s="358"/>
    </row>
    <row r="11" spans="2:111" ht="21" customHeight="1" x14ac:dyDescent="0.25">
      <c r="B11" s="364"/>
      <c r="C11" s="365"/>
      <c r="D11" s="362"/>
      <c r="E11" s="204"/>
      <c r="F11" s="204">
        <f ca="1">IF(INDIRECT(ADDRESS(11,2,1,0,BK10),FALSE)=$B10,INDIRECT(ADDRESS(21,209,1,0,BK10),FALSE),INDIRECT(ADDRESS(21,216,1,0,BK10),FALSE))</f>
        <v>1</v>
      </c>
      <c r="G11" s="204" t="str">
        <f ca="1">IF(OR(F11=3,H11=3),":","")</f>
        <v>:</v>
      </c>
      <c r="H11" s="204">
        <f ca="1">IF(INDIRECT(ADDRESS(11,2,1,0,BK10),FALSE)=$B10,INDIRECT(ADDRESS(21,216,1,0,BK10),FALSE),INDIRECT(ADDRESS(21,209,1,0,BK10),FALSE))</f>
        <v>3</v>
      </c>
      <c r="I11" s="170"/>
      <c r="J11" s="169"/>
      <c r="K11" s="204" t="str">
        <f ca="1">IF(INDIRECT(ADDRESS(11,2,1,0,BP10),FALSE)=$B10,INDIRECT(ADDRESS(21,209,1,0,BP10),FALSE),INDIRECT(ADDRESS(21,216,1,0,BP10),FALSE))</f>
        <v/>
      </c>
      <c r="L11" s="204" t="str">
        <f ca="1">IF(OR(K11=3,M11=3),":","")</f>
        <v/>
      </c>
      <c r="M11" s="204" t="str">
        <f ca="1">IF(INDIRECT(ADDRESS(11,2,1,0,BP10),FALSE)=$B10,INDIRECT(ADDRESS(21,216,1,0,BP10),FALSE),INDIRECT(ADDRESS(21,209,1,0,BP10),FALSE))</f>
        <v/>
      </c>
      <c r="N11" s="170"/>
      <c r="O11" s="370"/>
      <c r="P11" s="371"/>
      <c r="Q11" s="371"/>
      <c r="R11" s="371"/>
      <c r="S11" s="372"/>
      <c r="T11" s="169"/>
      <c r="U11" s="204">
        <f ca="1">IF(INDIRECT(ADDRESS(11,2,1,0,BZ10),FALSE)=$B10,INDIRECT(ADDRESS(21,209,1,0,BZ10),FALSE),INDIRECT(ADDRESS(21,216,1,0,BZ10),FALSE))</f>
        <v>3</v>
      </c>
      <c r="V11" s="204" t="str">
        <f ca="1">IF(OR(U11=3,W11=3),":","")</f>
        <v>:</v>
      </c>
      <c r="W11" s="204">
        <f ca="1">IF(INDIRECT(ADDRESS(11,2,1,0,BZ10),FALSE)=$B10,INDIRECT(ADDRESS(21,216,1,0,BZ10),FALSE),INDIRECT(ADDRESS(21,209,1,0,BZ10),FALSE))</f>
        <v>2</v>
      </c>
      <c r="X11" s="170"/>
      <c r="Y11" s="169"/>
      <c r="Z11" s="204">
        <f ca="1">IF(INDIRECT(ADDRESS(11,2,1,0,CE10),FALSE)=$B10,INDIRECT(ADDRESS(21,209,1,0,CE10),FALSE),INDIRECT(ADDRESS(21,216,1,0,CE10),FALSE))</f>
        <v>3</v>
      </c>
      <c r="AA11" s="204" t="str">
        <f ca="1">IF(OR(Z11=3,AB11=3),":","")</f>
        <v>:</v>
      </c>
      <c r="AB11" s="204">
        <f ca="1">IF(INDIRECT(ADDRESS(11,2,1,0,CE10),FALSE)=$B10,INDIRECT(ADDRESS(21,216,1,0,CE10),FALSE),INDIRECT(ADDRESS(21,209,1,0,CE10),FALSE))</f>
        <v>1</v>
      </c>
      <c r="AC11" s="170"/>
      <c r="AD11" s="169"/>
      <c r="AE11" s="204">
        <f ca="1">IF(INDIRECT(ADDRESS(11,2,1,0,CJ10),FALSE)=$B10,INDIRECT(ADDRESS(21,209,1,0,CJ10),FALSE),INDIRECT(ADDRESS(21,216,1,0,CJ10),FALSE))</f>
        <v>3</v>
      </c>
      <c r="AF11" s="204" t="str">
        <f ca="1">IF(OR(AE11=3,AG11=3),":","")</f>
        <v>:</v>
      </c>
      <c r="AG11" s="204">
        <f ca="1">IF(INDIRECT(ADDRESS(11,2,1,0,CJ10),FALSE)=$B10,INDIRECT(ADDRESS(21,216,1,0,CJ10),FALSE),INDIRECT(ADDRESS(21,209,1,0,CJ10),FALSE))</f>
        <v>0</v>
      </c>
      <c r="AH11" s="170"/>
      <c r="AI11" s="169"/>
      <c r="AJ11" s="204">
        <f ca="1">IF(INDIRECT(ADDRESS(11,2,1,0,CO10),FALSE)=$B10,INDIRECT(ADDRESS(21,209,1,0,CO10),FALSE),INDIRECT(ADDRESS(21,216,1,0,CO10),FALSE))</f>
        <v>3</v>
      </c>
      <c r="AK11" s="204" t="str">
        <f ca="1">IF(OR(AJ11=3,AL11=3),":","")</f>
        <v>:</v>
      </c>
      <c r="AL11" s="204">
        <f ca="1">IF(INDIRECT(ADDRESS(11,2,1,0,CO10),FALSE)=$B10,INDIRECT(ADDRESS(21,216,1,0,CO10),FALSE),INDIRECT(ADDRESS(21,209,1,0,CO10),FALSE))</f>
        <v>0</v>
      </c>
      <c r="AM11" s="170"/>
      <c r="AN11" s="169"/>
      <c r="AO11" s="204">
        <f ca="1">IF(INDIRECT(ADDRESS(11,2,1,0,CT10),FALSE)=$B10,INDIRECT(ADDRESS(21,209,1,0,CT10),FALSE),INDIRECT(ADDRESS(21,216,1,0,CT10),FALSE))</f>
        <v>1</v>
      </c>
      <c r="AP11" s="204" t="str">
        <f ca="1">IF(OR(AO11=3,AQ11=3),":","")</f>
        <v/>
      </c>
      <c r="AQ11" s="204">
        <f ca="1">IF(INDIRECT(ADDRESS(11,2,1,0,CT10),FALSE)=$B10,INDIRECT(ADDRESS(21,216,1,0,CT10),FALSE),INDIRECT(ADDRESS(21,209,1,0,CT10),FALSE))</f>
        <v>1</v>
      </c>
      <c r="AR11" s="170"/>
      <c r="AS11" s="169"/>
      <c r="AT11" s="204">
        <f ca="1">IF(INDIRECT(ADDRESS(11,2,1,0,CY10),FALSE)=$B10,INDIRECT(ADDRESS(21,209,1,0,CY10),FALSE),INDIRECT(ADDRESS(21,216,1,0,CY10),FALSE))</f>
        <v>3</v>
      </c>
      <c r="AU11" s="204" t="str">
        <f ca="1">IF(OR(AT11=3,AV11=3),":","")</f>
        <v>:</v>
      </c>
      <c r="AV11" s="204">
        <f ca="1">IF(INDIRECT(ADDRESS(11,2,1,0,CY10),FALSE)=$B10,INDIRECT(ADDRESS(21,216,1,0,CY10),FALSE),INDIRECT(ADDRESS(21,209,1,0,CY10),FALSE))</f>
        <v>1</v>
      </c>
      <c r="AW11" s="170"/>
      <c r="AX11" s="169"/>
      <c r="AY11" s="204">
        <f ca="1">IF(INDIRECT(ADDRESS(11,2,1,0,DD10),FALSE)=$B10,INDIRECT(ADDRESS(21,209,1,0,DD10),FALSE),INDIRECT(ADDRESS(21,216,1,0,DD10),FALSE))</f>
        <v>4</v>
      </c>
      <c r="AZ11" s="204" t="str">
        <f ca="1">IF(OR(AY11=3,BA11=3),":","")</f>
        <v/>
      </c>
      <c r="BA11" s="204">
        <f ca="1">IF(INDIRECT(ADDRESS(11,2,1,0,DD10),FALSE)=$B10,INDIRECT(ADDRESS(21,216,1,0,DD10),FALSE),INDIRECT(ADDRESS(21,209,1,0,DD10),FALSE))</f>
        <v>0</v>
      </c>
      <c r="BB11" s="171"/>
      <c r="BC11" s="362"/>
      <c r="BD11" s="362"/>
      <c r="BE11" s="361"/>
      <c r="BF11" s="362"/>
      <c r="BG11" s="373"/>
      <c r="BH11" s="361"/>
      <c r="BJ11" s="359"/>
      <c r="BK11" s="359"/>
      <c r="BL11" s="206"/>
      <c r="BM11" s="206"/>
      <c r="BN11" s="206"/>
      <c r="BO11" s="206"/>
      <c r="BP11" s="359"/>
      <c r="BQ11" s="206"/>
      <c r="BR11" s="206"/>
      <c r="BS11" s="206"/>
      <c r="BT11" s="206"/>
      <c r="BU11" s="360"/>
      <c r="BV11" s="207"/>
      <c r="BW11" s="207"/>
      <c r="BX11" s="207"/>
      <c r="BY11" s="207"/>
      <c r="BZ11" s="359"/>
      <c r="CA11" s="206"/>
      <c r="CB11" s="206"/>
      <c r="CC11" s="206"/>
      <c r="CD11" s="206"/>
      <c r="CE11" s="359"/>
      <c r="CF11" s="206"/>
      <c r="CG11" s="206"/>
      <c r="CH11" s="206"/>
      <c r="CI11" s="206"/>
      <c r="CJ11" s="359"/>
      <c r="CK11" s="206"/>
      <c r="CL11" s="206"/>
      <c r="CM11" s="206"/>
      <c r="CN11" s="206"/>
      <c r="CO11" s="359"/>
      <c r="CP11" s="206"/>
      <c r="CQ11" s="206"/>
      <c r="CR11" s="206"/>
      <c r="CS11" s="206"/>
      <c r="CT11" s="359"/>
      <c r="CU11" s="206"/>
      <c r="CV11" s="206"/>
      <c r="CW11" s="206"/>
      <c r="CX11" s="206"/>
      <c r="CY11" s="359"/>
      <c r="CZ11" s="206"/>
      <c r="DA11" s="206"/>
      <c r="DB11" s="206"/>
      <c r="DC11" s="206"/>
      <c r="DD11" s="359"/>
      <c r="DF11" s="358"/>
      <c r="DG11" s="358"/>
    </row>
    <row r="12" spans="2:111" ht="21" customHeight="1" x14ac:dyDescent="0.3">
      <c r="B12" s="364">
        <v>4</v>
      </c>
      <c r="C12" s="365" t="str">
        <f>SUBSTITUTE(SUBSTITUTE(VLOOKUP(B12,Список!B:N,12,FALSE),")",""),"(","")</f>
        <v>«Дрим Тим» г.Симферополь</v>
      </c>
      <c r="D12" s="362"/>
      <c r="E12" s="172"/>
      <c r="F12" s="363">
        <f ca="1">IF(F13="","",IF(F13=3,2,IF(F13="wo",0,1)))</f>
        <v>1</v>
      </c>
      <c r="G12" s="363"/>
      <c r="H12" s="363"/>
      <c r="I12" s="184"/>
      <c r="J12" s="185"/>
      <c r="K12" s="363" t="str">
        <f ca="1">IF(K13="","",IF(K13=3,2,IF(K13="wo",0,1)))</f>
        <v/>
      </c>
      <c r="L12" s="363"/>
      <c r="M12" s="363"/>
      <c r="N12" s="184"/>
      <c r="O12" s="185"/>
      <c r="P12" s="363">
        <f ca="1">IF(P13="","",IF(P13=3,2,IF(P13="wo",0,1)))</f>
        <v>1</v>
      </c>
      <c r="Q12" s="363"/>
      <c r="R12" s="363"/>
      <c r="S12" s="173"/>
      <c r="T12" s="367"/>
      <c r="U12" s="368"/>
      <c r="V12" s="368"/>
      <c r="W12" s="368"/>
      <c r="X12" s="369"/>
      <c r="Y12" s="174"/>
      <c r="Z12" s="363">
        <f ca="1">IF(Z13="","",IF(Z13=3,2,IF(Z13="wo",0,1)))</f>
        <v>2</v>
      </c>
      <c r="AA12" s="363"/>
      <c r="AB12" s="363"/>
      <c r="AC12" s="184"/>
      <c r="AD12" s="185"/>
      <c r="AE12" s="363">
        <f ca="1">IF(AE13="","",IF(AE13=3,2,IF(AE13="wo",0,1)))</f>
        <v>2</v>
      </c>
      <c r="AF12" s="363"/>
      <c r="AG12" s="363"/>
      <c r="AH12" s="184"/>
      <c r="AI12" s="185"/>
      <c r="AJ12" s="363">
        <f ca="1">IF(AJ13="","",IF(AJ13=3,2,IF(AJ13="wo",0,1)))</f>
        <v>2</v>
      </c>
      <c r="AK12" s="363"/>
      <c r="AL12" s="363"/>
      <c r="AM12" s="184"/>
      <c r="AN12" s="185"/>
      <c r="AO12" s="363" t="str">
        <f ca="1">IF(AO13="","",IF(AO13=3,2,IF(AO13="wo",0,1)))</f>
        <v/>
      </c>
      <c r="AP12" s="363"/>
      <c r="AQ12" s="363"/>
      <c r="AR12" s="184"/>
      <c r="AS12" s="185"/>
      <c r="AT12" s="363">
        <f ca="1">IF(AT13="","",IF(AT13=3,2,IF(AT13="wo",0,1)))</f>
        <v>2</v>
      </c>
      <c r="AU12" s="363"/>
      <c r="AV12" s="363"/>
      <c r="AW12" s="184"/>
      <c r="AX12" s="185"/>
      <c r="AY12" s="363">
        <f ca="1">IF(AY13="","",IF(AY13=3,2,IF(AY13="wo",0,1)))</f>
        <v>1</v>
      </c>
      <c r="AZ12" s="363"/>
      <c r="BA12" s="363"/>
      <c r="BB12" s="175"/>
      <c r="BC12" s="362">
        <f ca="1">SUM(E12:BB12)</f>
        <v>11</v>
      </c>
      <c r="BD12" s="362"/>
      <c r="BE12" s="361">
        <f ca="1">IF(DF12="",_xlfn.RANK.EQ(BC12,$BC$6:$BC$25),DF12)</f>
        <v>5</v>
      </c>
      <c r="BF12" s="362">
        <f ca="1">BC12+D12</f>
        <v>11</v>
      </c>
      <c r="BG12" s="373"/>
      <c r="BH12" s="361">
        <f ca="1">IF(DG12="",_xlfn.RANK.EQ(BF12,$BF$6:$BF$25),DG12)</f>
        <v>5</v>
      </c>
      <c r="BJ12" s="359">
        <v>4</v>
      </c>
      <c r="BK12" s="359">
        <v>26</v>
      </c>
      <c r="BL12" s="206"/>
      <c r="BM12" s="206"/>
      <c r="BN12" s="206"/>
      <c r="BO12" s="206"/>
      <c r="BP12" s="359">
        <v>21</v>
      </c>
      <c r="BQ12" s="206"/>
      <c r="BR12" s="206"/>
      <c r="BS12" s="206"/>
      <c r="BT12" s="206"/>
      <c r="BU12" s="359">
        <v>42</v>
      </c>
      <c r="BV12" s="206"/>
      <c r="BW12" s="206"/>
      <c r="BX12" s="206"/>
      <c r="BY12" s="206"/>
      <c r="BZ12" s="360" t="e">
        <v>#N/A</v>
      </c>
      <c r="CA12" s="207"/>
      <c r="CB12" s="207"/>
      <c r="CC12" s="207"/>
      <c r="CD12" s="207"/>
      <c r="CE12" s="359">
        <v>37</v>
      </c>
      <c r="CF12" s="206"/>
      <c r="CG12" s="206"/>
      <c r="CH12" s="206"/>
      <c r="CI12" s="206"/>
      <c r="CJ12" s="359">
        <v>3</v>
      </c>
      <c r="CK12" s="206"/>
      <c r="CL12" s="206"/>
      <c r="CM12" s="206"/>
      <c r="CN12" s="206"/>
      <c r="CO12" s="359">
        <v>33</v>
      </c>
      <c r="CP12" s="206"/>
      <c r="CQ12" s="206"/>
      <c r="CR12" s="206"/>
      <c r="CS12" s="206"/>
      <c r="CT12" s="359">
        <v>20</v>
      </c>
      <c r="CU12" s="206"/>
      <c r="CV12" s="206"/>
      <c r="CW12" s="206"/>
      <c r="CX12" s="206"/>
      <c r="CY12" s="359">
        <v>15</v>
      </c>
      <c r="CZ12" s="206"/>
      <c r="DA12" s="206"/>
      <c r="DB12" s="206"/>
      <c r="DC12" s="206"/>
      <c r="DD12" s="359">
        <v>9</v>
      </c>
      <c r="DF12" s="358"/>
      <c r="DG12" s="358"/>
    </row>
    <row r="13" spans="2:111" ht="21" customHeight="1" x14ac:dyDescent="0.25">
      <c r="B13" s="364"/>
      <c r="C13" s="365"/>
      <c r="D13" s="362"/>
      <c r="E13" s="204"/>
      <c r="F13" s="204">
        <f ca="1">IF(INDIRECT(ADDRESS(11,2,1,0,BK12),FALSE)=$B12,INDIRECT(ADDRESS(21,209,1,0,BK12),FALSE),INDIRECT(ADDRESS(21,216,1,0,BK12),FALSE))</f>
        <v>1</v>
      </c>
      <c r="G13" s="204" t="str">
        <f ca="1">IF(OR(F13=3,H13=3),":","")</f>
        <v>:</v>
      </c>
      <c r="H13" s="204">
        <f ca="1">IF(INDIRECT(ADDRESS(11,2,1,0,BK12),FALSE)=$B12,INDIRECT(ADDRESS(21,216,1,0,BK12),FALSE),INDIRECT(ADDRESS(21,209,1,0,BK12),FALSE))</f>
        <v>3</v>
      </c>
      <c r="I13" s="170"/>
      <c r="J13" s="169"/>
      <c r="K13" s="204" t="str">
        <f ca="1">IF(INDIRECT(ADDRESS(11,2,1,0,BP12),FALSE)=$B12,INDIRECT(ADDRESS(21,209,1,0,BP12),FALSE),INDIRECT(ADDRESS(21,216,1,0,BP12),FALSE))</f>
        <v/>
      </c>
      <c r="L13" s="204" t="str">
        <f ca="1">IF(OR(K13=3,M13=3),":","")</f>
        <v/>
      </c>
      <c r="M13" s="204" t="str">
        <f ca="1">IF(INDIRECT(ADDRESS(11,2,1,0,BP12),FALSE)=$B12,INDIRECT(ADDRESS(21,216,1,0,BP12),FALSE),INDIRECT(ADDRESS(21,209,1,0,BP12),FALSE))</f>
        <v/>
      </c>
      <c r="N13" s="170"/>
      <c r="O13" s="169"/>
      <c r="P13" s="204">
        <f ca="1">IF(INDIRECT(ADDRESS(11,2,1,0,BU12),FALSE)=$B12,INDIRECT(ADDRESS(21,209,1,0,BU12),FALSE),INDIRECT(ADDRESS(21,216,1,0,BU12),FALSE))</f>
        <v>2</v>
      </c>
      <c r="Q13" s="204" t="str">
        <f ca="1">IF(OR(P13=3,R13=3),":","")</f>
        <v>:</v>
      </c>
      <c r="R13" s="204">
        <f ca="1">IF(INDIRECT(ADDRESS(11,2,1,0,BU12),FALSE)=$B12,INDIRECT(ADDRESS(21,216,1,0,BU12),FALSE),INDIRECT(ADDRESS(21,209,1,0,BU12),FALSE))</f>
        <v>3</v>
      </c>
      <c r="S13" s="170"/>
      <c r="T13" s="370"/>
      <c r="U13" s="371"/>
      <c r="V13" s="371"/>
      <c r="W13" s="371"/>
      <c r="X13" s="372"/>
      <c r="Y13" s="169"/>
      <c r="Z13" s="204">
        <f ca="1">IF(INDIRECT(ADDRESS(11,2,1,0,CE12),FALSE)=$B12,INDIRECT(ADDRESS(21,209,1,0,CE12),FALSE),INDIRECT(ADDRESS(21,216,1,0,CE12),FALSE))</f>
        <v>3</v>
      </c>
      <c r="AA13" s="204" t="str">
        <f ca="1">IF(OR(Z13=3,AB13=3),":","")</f>
        <v>:</v>
      </c>
      <c r="AB13" s="204">
        <f ca="1">IF(INDIRECT(ADDRESS(11,2,1,0,CE12),FALSE)=$B12,INDIRECT(ADDRESS(21,216,1,0,CE12),FALSE),INDIRECT(ADDRESS(21,209,1,0,CE12),FALSE))</f>
        <v>0</v>
      </c>
      <c r="AC13" s="170"/>
      <c r="AD13" s="169"/>
      <c r="AE13" s="204">
        <f ca="1">IF(INDIRECT(ADDRESS(11,2,1,0,CJ12),FALSE)=$B12,INDIRECT(ADDRESS(21,209,1,0,CJ12),FALSE),INDIRECT(ADDRESS(21,216,1,0,CJ12),FALSE))</f>
        <v>3</v>
      </c>
      <c r="AF13" s="204" t="str">
        <f ca="1">IF(OR(AE13=3,AG13=3),":","")</f>
        <v>:</v>
      </c>
      <c r="AG13" s="204">
        <f ca="1">IF(INDIRECT(ADDRESS(11,2,1,0,CJ12),FALSE)=$B12,INDIRECT(ADDRESS(21,216,1,0,CJ12),FALSE),INDIRECT(ADDRESS(21,209,1,0,CJ12),FALSE))</f>
        <v>0</v>
      </c>
      <c r="AH13" s="170"/>
      <c r="AI13" s="169"/>
      <c r="AJ13" s="204">
        <f ca="1">IF(INDIRECT(ADDRESS(11,2,1,0,CO12),FALSE)=$B12,INDIRECT(ADDRESS(21,209,1,0,CO12),FALSE),INDIRECT(ADDRESS(21,216,1,0,CO12),FALSE))</f>
        <v>3</v>
      </c>
      <c r="AK13" s="204" t="str">
        <f ca="1">IF(OR(AJ13=3,AL13=3),":","")</f>
        <v>:</v>
      </c>
      <c r="AL13" s="204">
        <f ca="1">IF(INDIRECT(ADDRESS(11,2,1,0,CO12),FALSE)=$B12,INDIRECT(ADDRESS(21,216,1,0,CO12),FALSE),INDIRECT(ADDRESS(21,209,1,0,CO12),FALSE))</f>
        <v>1</v>
      </c>
      <c r="AM13" s="170"/>
      <c r="AN13" s="169"/>
      <c r="AO13" s="204" t="str">
        <f ca="1">IF(INDIRECT(ADDRESS(11,2,1,0,CT12),FALSE)=$B12,INDIRECT(ADDRESS(21,209,1,0,CT12),FALSE),INDIRECT(ADDRESS(21,216,1,0,CT12),FALSE))</f>
        <v/>
      </c>
      <c r="AP13" s="204" t="str">
        <f ca="1">IF(OR(AO13=3,AQ13=3),":","")</f>
        <v/>
      </c>
      <c r="AQ13" s="204" t="str">
        <f ca="1">IF(INDIRECT(ADDRESS(11,2,1,0,CT12),FALSE)=$B12,INDIRECT(ADDRESS(21,216,1,0,CT12),FALSE),INDIRECT(ADDRESS(21,209,1,0,CT12),FALSE))</f>
        <v/>
      </c>
      <c r="AR13" s="170"/>
      <c r="AS13" s="169"/>
      <c r="AT13" s="204">
        <f ca="1">IF(INDIRECT(ADDRESS(11,2,1,0,CY12),FALSE)=$B12,INDIRECT(ADDRESS(21,209,1,0,CY12),FALSE),INDIRECT(ADDRESS(21,216,1,0,CY12),FALSE))</f>
        <v>3</v>
      </c>
      <c r="AU13" s="204" t="str">
        <f ca="1">IF(OR(AT13=3,AV13=3),":","")</f>
        <v>:</v>
      </c>
      <c r="AV13" s="204">
        <f ca="1">IF(INDIRECT(ADDRESS(11,2,1,0,CY12),FALSE)=$B12,INDIRECT(ADDRESS(21,216,1,0,CY12),FALSE),INDIRECT(ADDRESS(21,209,1,0,CY12),FALSE))</f>
        <v>0</v>
      </c>
      <c r="AW13" s="170"/>
      <c r="AX13" s="169"/>
      <c r="AY13" s="204">
        <f ca="1">IF(INDIRECT(ADDRESS(11,2,1,0,DD12),FALSE)=$B12,INDIRECT(ADDRESS(21,209,1,0,DD12),FALSE),INDIRECT(ADDRESS(21,216,1,0,DD12),FALSE))</f>
        <v>1</v>
      </c>
      <c r="AZ13" s="204" t="str">
        <f ca="1">IF(OR(AY13=3,BA13=3),":","")</f>
        <v>:</v>
      </c>
      <c r="BA13" s="204">
        <f ca="1">IF(INDIRECT(ADDRESS(11,2,1,0,DD12),FALSE)=$B12,INDIRECT(ADDRESS(21,216,1,0,DD12),FALSE),INDIRECT(ADDRESS(21,209,1,0,DD12),FALSE))</f>
        <v>3</v>
      </c>
      <c r="BB13" s="171"/>
      <c r="BC13" s="362"/>
      <c r="BD13" s="362"/>
      <c r="BE13" s="361"/>
      <c r="BF13" s="362"/>
      <c r="BG13" s="373"/>
      <c r="BH13" s="361"/>
      <c r="BJ13" s="359"/>
      <c r="BK13" s="359"/>
      <c r="BL13" s="206"/>
      <c r="BM13" s="206"/>
      <c r="BN13" s="206"/>
      <c r="BO13" s="206"/>
      <c r="BP13" s="359"/>
      <c r="BQ13" s="206"/>
      <c r="BR13" s="206"/>
      <c r="BS13" s="206"/>
      <c r="BT13" s="206"/>
      <c r="BU13" s="359"/>
      <c r="BV13" s="206"/>
      <c r="BW13" s="206"/>
      <c r="BX13" s="206"/>
      <c r="BY13" s="206"/>
      <c r="BZ13" s="360"/>
      <c r="CA13" s="207"/>
      <c r="CB13" s="207"/>
      <c r="CC13" s="207"/>
      <c r="CD13" s="207"/>
      <c r="CE13" s="359"/>
      <c r="CF13" s="206"/>
      <c r="CG13" s="206"/>
      <c r="CH13" s="206"/>
      <c r="CI13" s="206"/>
      <c r="CJ13" s="359"/>
      <c r="CK13" s="206"/>
      <c r="CL13" s="206"/>
      <c r="CM13" s="206"/>
      <c r="CN13" s="206"/>
      <c r="CO13" s="359"/>
      <c r="CP13" s="206"/>
      <c r="CQ13" s="206"/>
      <c r="CR13" s="206"/>
      <c r="CS13" s="206"/>
      <c r="CT13" s="359"/>
      <c r="CU13" s="206"/>
      <c r="CV13" s="206"/>
      <c r="CW13" s="206"/>
      <c r="CX13" s="206"/>
      <c r="CY13" s="359"/>
      <c r="CZ13" s="206"/>
      <c r="DA13" s="206"/>
      <c r="DB13" s="206"/>
      <c r="DC13" s="206"/>
      <c r="DD13" s="359"/>
      <c r="DF13" s="358"/>
      <c r="DG13" s="358"/>
    </row>
    <row r="14" spans="2:111" ht="21" customHeight="1" x14ac:dyDescent="0.3">
      <c r="B14" s="364">
        <v>5</v>
      </c>
      <c r="C14" s="365" t="str">
        <f>SUBSTITUTE(SUBSTITUTE(VLOOKUP(B14,Список!B:N,12,FALSE),")",""),"(","")</f>
        <v>«Рассвет» г.Симферополь</v>
      </c>
      <c r="D14" s="362"/>
      <c r="E14" s="172"/>
      <c r="F14" s="363" t="str">
        <f ca="1">IF(F15="","",IF(F15=3,2,IF(F15="wo",0,1)))</f>
        <v/>
      </c>
      <c r="G14" s="363"/>
      <c r="H14" s="363"/>
      <c r="I14" s="184"/>
      <c r="J14" s="185"/>
      <c r="K14" s="363">
        <f ca="1">IF(K15="","",IF(K15=3,2,IF(K15="wo",0,1)))</f>
        <v>1</v>
      </c>
      <c r="L14" s="363"/>
      <c r="M14" s="363"/>
      <c r="N14" s="184"/>
      <c r="O14" s="185"/>
      <c r="P14" s="363">
        <f ca="1">IF(P15="","",IF(P15=3,2,IF(P15="wo",0,1)))</f>
        <v>1</v>
      </c>
      <c r="Q14" s="363"/>
      <c r="R14" s="363"/>
      <c r="S14" s="184"/>
      <c r="T14" s="185"/>
      <c r="U14" s="363">
        <f ca="1">IF(U15="","",IF(U15=3,2,IF(U15="wo",0,1)))</f>
        <v>1</v>
      </c>
      <c r="V14" s="363"/>
      <c r="W14" s="363"/>
      <c r="X14" s="173"/>
      <c r="Y14" s="367"/>
      <c r="Z14" s="368"/>
      <c r="AA14" s="368"/>
      <c r="AB14" s="368"/>
      <c r="AC14" s="369"/>
      <c r="AD14" s="174"/>
      <c r="AE14" s="363">
        <f ca="1">IF(AE15="","",IF(AE15=3,2,IF(AE15="wo",0,1)))</f>
        <v>2</v>
      </c>
      <c r="AF14" s="363"/>
      <c r="AG14" s="363"/>
      <c r="AH14" s="184"/>
      <c r="AI14" s="185"/>
      <c r="AJ14" s="363" t="str">
        <f ca="1">IF(AJ15="","",IF(AJ15=3,2,IF(AJ15="wo",0,1)))</f>
        <v/>
      </c>
      <c r="AK14" s="363"/>
      <c r="AL14" s="363"/>
      <c r="AM14" s="184"/>
      <c r="AN14" s="185"/>
      <c r="AO14" s="363">
        <f ca="1">IF(AO15="","",IF(AO15=3,2,IF(AO15="wo",0,1)))</f>
        <v>1</v>
      </c>
      <c r="AP14" s="363"/>
      <c r="AQ14" s="363"/>
      <c r="AR14" s="184"/>
      <c r="AS14" s="185"/>
      <c r="AT14" s="363">
        <f ca="1">IF(AT15="","",IF(AT15=3,2,IF(AT15="wo",0,1)))</f>
        <v>2</v>
      </c>
      <c r="AU14" s="363"/>
      <c r="AV14" s="363"/>
      <c r="AW14" s="184"/>
      <c r="AX14" s="185"/>
      <c r="AY14" s="363">
        <f ca="1">IF(AY15="","",IF(AY15=3,2,IF(AY15="wo",0,1)))</f>
        <v>1</v>
      </c>
      <c r="AZ14" s="363"/>
      <c r="BA14" s="363"/>
      <c r="BB14" s="175"/>
      <c r="BC14" s="362">
        <f ca="1">SUM(E14:BB14)</f>
        <v>9</v>
      </c>
      <c r="BD14" s="362"/>
      <c r="BE14" s="361">
        <f ca="1">IF(DF14="",_xlfn.RANK.EQ(BC14,$BC$6:$BC$25),DF14)</f>
        <v>8</v>
      </c>
      <c r="BF14" s="362">
        <f ca="1">BC14+D14</f>
        <v>9</v>
      </c>
      <c r="BG14" s="373"/>
      <c r="BH14" s="361">
        <f ca="1">IF(DG14="",_xlfn.RANK.EQ(BF14,$BF$6:$BF$25),DG14)</f>
        <v>8</v>
      </c>
      <c r="BJ14" s="359">
        <v>5</v>
      </c>
      <c r="BK14" s="359">
        <v>22</v>
      </c>
      <c r="BL14" s="206"/>
      <c r="BM14" s="206"/>
      <c r="BN14" s="206"/>
      <c r="BO14" s="206"/>
      <c r="BP14" s="359">
        <v>32</v>
      </c>
      <c r="BQ14" s="206"/>
      <c r="BR14" s="206"/>
      <c r="BS14" s="206"/>
      <c r="BT14" s="206"/>
      <c r="BU14" s="359">
        <v>27</v>
      </c>
      <c r="BV14" s="206"/>
      <c r="BW14" s="206"/>
      <c r="BX14" s="206"/>
      <c r="BY14" s="206"/>
      <c r="BZ14" s="359">
        <v>37</v>
      </c>
      <c r="CA14" s="206"/>
      <c r="CB14" s="206"/>
      <c r="CC14" s="206"/>
      <c r="CD14" s="206"/>
      <c r="CE14" s="360" t="e">
        <v>#N/A</v>
      </c>
      <c r="CF14" s="207"/>
      <c r="CG14" s="207"/>
      <c r="CH14" s="207"/>
      <c r="CI14" s="207"/>
      <c r="CJ14" s="359">
        <v>43</v>
      </c>
      <c r="CK14" s="206"/>
      <c r="CL14" s="206"/>
      <c r="CM14" s="206"/>
      <c r="CN14" s="206"/>
      <c r="CO14" s="359">
        <v>18</v>
      </c>
      <c r="CP14" s="206"/>
      <c r="CQ14" s="206"/>
      <c r="CR14" s="206"/>
      <c r="CS14" s="206"/>
      <c r="CT14" s="359">
        <v>14</v>
      </c>
      <c r="CU14" s="206"/>
      <c r="CV14" s="206"/>
      <c r="CW14" s="206"/>
      <c r="CX14" s="206"/>
      <c r="CY14" s="359">
        <v>10</v>
      </c>
      <c r="CZ14" s="206"/>
      <c r="DA14" s="206"/>
      <c r="DB14" s="206"/>
      <c r="DC14" s="206"/>
      <c r="DD14" s="359">
        <v>5</v>
      </c>
      <c r="DF14" s="358"/>
      <c r="DG14" s="358"/>
    </row>
    <row r="15" spans="2:111" ht="21" customHeight="1" x14ac:dyDescent="0.25">
      <c r="B15" s="364"/>
      <c r="C15" s="365"/>
      <c r="D15" s="362"/>
      <c r="E15" s="204"/>
      <c r="F15" s="204" t="str">
        <f ca="1">IF(INDIRECT(ADDRESS(11,2,1,0,BK14),FALSE)=$B14,INDIRECT(ADDRESS(21,209,1,0,BK14),FALSE),INDIRECT(ADDRESS(21,216,1,0,BK14),FALSE))</f>
        <v/>
      </c>
      <c r="G15" s="204" t="str">
        <f ca="1">IF(OR(F15=3,H15=3),":","")</f>
        <v/>
      </c>
      <c r="H15" s="204" t="str">
        <f ca="1">IF(INDIRECT(ADDRESS(11,2,1,0,BK14),FALSE)=$B14,INDIRECT(ADDRESS(21,216,1,0,BK14),FALSE),INDIRECT(ADDRESS(21,209,1,0,BK14),FALSE))</f>
        <v/>
      </c>
      <c r="I15" s="170"/>
      <c r="J15" s="169"/>
      <c r="K15" s="204">
        <f ca="1">IF(INDIRECT(ADDRESS(11,2,1,0,BP14),FALSE)=$B14,INDIRECT(ADDRESS(21,209,1,0,BP14),FALSE),INDIRECT(ADDRESS(21,216,1,0,BP14),FALSE))</f>
        <v>0</v>
      </c>
      <c r="L15" s="204" t="str">
        <f ca="1">IF(OR(K15=3,M15=3),":","")</f>
        <v>:</v>
      </c>
      <c r="M15" s="204">
        <f ca="1">IF(INDIRECT(ADDRESS(11,2,1,0,BP14),FALSE)=$B14,INDIRECT(ADDRESS(21,216,1,0,BP14),FALSE),INDIRECT(ADDRESS(21,209,1,0,BP14),FALSE))</f>
        <v>3</v>
      </c>
      <c r="N15" s="170"/>
      <c r="O15" s="169"/>
      <c r="P15" s="204">
        <f ca="1">IF(INDIRECT(ADDRESS(11,2,1,0,BU14),FALSE)=$B14,INDIRECT(ADDRESS(21,209,1,0,BU14),FALSE),INDIRECT(ADDRESS(21,216,1,0,BU14),FALSE))</f>
        <v>1</v>
      </c>
      <c r="Q15" s="204" t="str">
        <f ca="1">IF(OR(P15=3,R15=3),":","")</f>
        <v>:</v>
      </c>
      <c r="R15" s="204">
        <f ca="1">IF(INDIRECT(ADDRESS(11,2,1,0,BU14),FALSE)=$B14,INDIRECT(ADDRESS(21,216,1,0,BU14),FALSE),INDIRECT(ADDRESS(21,209,1,0,BU14),FALSE))</f>
        <v>3</v>
      </c>
      <c r="S15" s="170"/>
      <c r="T15" s="169"/>
      <c r="U15" s="204">
        <f ca="1">IF(INDIRECT(ADDRESS(11,2,1,0,BZ14),FALSE)=$B14,INDIRECT(ADDRESS(21,209,1,0,BZ14),FALSE),INDIRECT(ADDRESS(21,216,1,0,BZ14),FALSE))</f>
        <v>0</v>
      </c>
      <c r="V15" s="204" t="str">
        <f ca="1">IF(OR(U15=3,W15=3),":","")</f>
        <v>:</v>
      </c>
      <c r="W15" s="204">
        <f ca="1">IF(INDIRECT(ADDRESS(11,2,1,0,BZ14),FALSE)=$B14,INDIRECT(ADDRESS(21,216,1,0,BZ14),FALSE),INDIRECT(ADDRESS(21,209,1,0,BZ14),FALSE))</f>
        <v>3</v>
      </c>
      <c r="X15" s="170"/>
      <c r="Y15" s="370"/>
      <c r="Z15" s="371"/>
      <c r="AA15" s="371"/>
      <c r="AB15" s="371"/>
      <c r="AC15" s="372"/>
      <c r="AD15" s="169"/>
      <c r="AE15" s="204">
        <f ca="1">IF(INDIRECT(ADDRESS(11,2,1,0,CJ14),FALSE)=$B14,INDIRECT(ADDRESS(21,209,1,0,CJ14),FALSE),INDIRECT(ADDRESS(21,216,1,0,CJ14),FALSE))</f>
        <v>3</v>
      </c>
      <c r="AF15" s="204" t="str">
        <f ca="1">IF(OR(AE15=3,AG15=3),":","")</f>
        <v>:</v>
      </c>
      <c r="AG15" s="204">
        <f ca="1">IF(INDIRECT(ADDRESS(11,2,1,0,CJ14),FALSE)=$B14,INDIRECT(ADDRESS(21,216,1,0,CJ14),FALSE),INDIRECT(ADDRESS(21,209,1,0,CJ14),FALSE))</f>
        <v>0</v>
      </c>
      <c r="AH15" s="170"/>
      <c r="AI15" s="169"/>
      <c r="AJ15" s="204" t="str">
        <f ca="1">IF(INDIRECT(ADDRESS(11,2,1,0,CO14),FALSE)=$B14,INDIRECT(ADDRESS(21,209,1,0,CO14),FALSE),INDIRECT(ADDRESS(21,216,1,0,CO14),FALSE))</f>
        <v/>
      </c>
      <c r="AK15" s="204" t="str">
        <f ca="1">IF(OR(AJ15=3,AL15=3),":","")</f>
        <v/>
      </c>
      <c r="AL15" s="204" t="str">
        <f ca="1">IF(INDIRECT(ADDRESS(11,2,1,0,CO14),FALSE)=$B14,INDIRECT(ADDRESS(21,216,1,0,CO14),FALSE),INDIRECT(ADDRESS(21,209,1,0,CO14),FALSE))</f>
        <v/>
      </c>
      <c r="AM15" s="170"/>
      <c r="AN15" s="169"/>
      <c r="AO15" s="204">
        <f ca="1">IF(INDIRECT(ADDRESS(11,2,1,0,CT14),FALSE)=$B14,INDIRECT(ADDRESS(21,209,1,0,CT14),FALSE),INDIRECT(ADDRESS(21,216,1,0,CT14),FALSE))</f>
        <v>1</v>
      </c>
      <c r="AP15" s="204" t="str">
        <f ca="1">IF(OR(AO15=3,AQ15=3),":","")</f>
        <v>:</v>
      </c>
      <c r="AQ15" s="204">
        <f ca="1">IF(INDIRECT(ADDRESS(11,2,1,0,CT14),FALSE)=$B14,INDIRECT(ADDRESS(21,216,1,0,CT14),FALSE),INDIRECT(ADDRESS(21,209,1,0,CT14),FALSE))</f>
        <v>3</v>
      </c>
      <c r="AR15" s="170"/>
      <c r="AS15" s="169"/>
      <c r="AT15" s="204">
        <f ca="1">IF(INDIRECT(ADDRESS(11,2,1,0,CY14),FALSE)=$B14,INDIRECT(ADDRESS(21,209,1,0,CY14),FALSE),INDIRECT(ADDRESS(21,216,1,0,CY14),FALSE))</f>
        <v>3</v>
      </c>
      <c r="AU15" s="204" t="str">
        <f ca="1">IF(OR(AT15=3,AV15=3),":","")</f>
        <v>:</v>
      </c>
      <c r="AV15" s="204">
        <f ca="1">IF(INDIRECT(ADDRESS(11,2,1,0,CY14),FALSE)=$B14,INDIRECT(ADDRESS(21,216,1,0,CY14),FALSE),INDIRECT(ADDRESS(21,209,1,0,CY14),FALSE))</f>
        <v>0</v>
      </c>
      <c r="AW15" s="170"/>
      <c r="AX15" s="169"/>
      <c r="AY15" s="204">
        <f ca="1">IF(INDIRECT(ADDRESS(11,2,1,0,DD14),FALSE)=$B14,INDIRECT(ADDRESS(21,209,1,0,DD14),FALSE),INDIRECT(ADDRESS(21,216,1,0,DD14),FALSE))</f>
        <v>1</v>
      </c>
      <c r="AZ15" s="204" t="str">
        <f ca="1">IF(OR(AY15=3,BA15=3),":","")</f>
        <v>:</v>
      </c>
      <c r="BA15" s="204">
        <f ca="1">IF(INDIRECT(ADDRESS(11,2,1,0,DD14),FALSE)=$B14,INDIRECT(ADDRESS(21,216,1,0,DD14),FALSE),INDIRECT(ADDRESS(21,209,1,0,DD14),FALSE))</f>
        <v>3</v>
      </c>
      <c r="BB15" s="171"/>
      <c r="BC15" s="362"/>
      <c r="BD15" s="362"/>
      <c r="BE15" s="361"/>
      <c r="BF15" s="362"/>
      <c r="BG15" s="373"/>
      <c r="BH15" s="361"/>
      <c r="BJ15" s="359"/>
      <c r="BK15" s="359"/>
      <c r="BL15" s="206"/>
      <c r="BM15" s="206"/>
      <c r="BN15" s="206"/>
      <c r="BO15" s="206"/>
      <c r="BP15" s="359"/>
      <c r="BQ15" s="206"/>
      <c r="BR15" s="206"/>
      <c r="BS15" s="206"/>
      <c r="BT15" s="206"/>
      <c r="BU15" s="359"/>
      <c r="BV15" s="206"/>
      <c r="BW15" s="206"/>
      <c r="BX15" s="206"/>
      <c r="BY15" s="206"/>
      <c r="BZ15" s="359"/>
      <c r="CA15" s="206"/>
      <c r="CB15" s="206"/>
      <c r="CC15" s="206"/>
      <c r="CD15" s="206"/>
      <c r="CE15" s="360"/>
      <c r="CF15" s="207"/>
      <c r="CG15" s="207"/>
      <c r="CH15" s="207"/>
      <c r="CI15" s="207"/>
      <c r="CJ15" s="359"/>
      <c r="CK15" s="206"/>
      <c r="CL15" s="206"/>
      <c r="CM15" s="206"/>
      <c r="CN15" s="206"/>
      <c r="CO15" s="359"/>
      <c r="CP15" s="206"/>
      <c r="CQ15" s="206"/>
      <c r="CR15" s="206"/>
      <c r="CS15" s="206"/>
      <c r="CT15" s="359"/>
      <c r="CU15" s="206"/>
      <c r="CV15" s="206"/>
      <c r="CW15" s="206"/>
      <c r="CX15" s="206"/>
      <c r="CY15" s="359"/>
      <c r="CZ15" s="206"/>
      <c r="DA15" s="206"/>
      <c r="DB15" s="206"/>
      <c r="DC15" s="206"/>
      <c r="DD15" s="359"/>
      <c r="DF15" s="358"/>
      <c r="DG15" s="358"/>
    </row>
    <row r="16" spans="2:111" ht="21" customHeight="1" x14ac:dyDescent="0.3">
      <c r="B16" s="364">
        <v>6</v>
      </c>
      <c r="C16" s="365" t="str">
        <f>SUBSTITUTE(SUBSTITUTE(VLOOKUP(B16,Список!B:N,12,FALSE),")",""),"(","")</f>
        <v>«АРСЕНАЛ-С» г.Севастополь</v>
      </c>
      <c r="D16" s="362"/>
      <c r="E16" s="172"/>
      <c r="F16" s="363">
        <f ca="1">IF(F17="","",IF(F17=3,2,IF(F17="wo",0,1)))</f>
        <v>1</v>
      </c>
      <c r="G16" s="363"/>
      <c r="H16" s="363"/>
      <c r="I16" s="184"/>
      <c r="J16" s="185"/>
      <c r="K16" s="363">
        <f ca="1">IF(K17="","",IF(K17=3,2,IF(K17="wo",0,1)))</f>
        <v>1</v>
      </c>
      <c r="L16" s="363"/>
      <c r="M16" s="363"/>
      <c r="N16" s="184"/>
      <c r="O16" s="185"/>
      <c r="P16" s="363">
        <f ca="1">IF(P17="","",IF(P17=3,2,IF(P17="wo",0,1)))</f>
        <v>1</v>
      </c>
      <c r="Q16" s="363"/>
      <c r="R16" s="363"/>
      <c r="S16" s="184"/>
      <c r="T16" s="185"/>
      <c r="U16" s="363">
        <f ca="1">IF(U17="","",IF(U17=3,2,IF(U17="wo",0,1)))</f>
        <v>1</v>
      </c>
      <c r="V16" s="363"/>
      <c r="W16" s="363"/>
      <c r="X16" s="173"/>
      <c r="Y16" s="174"/>
      <c r="Z16" s="374">
        <f ca="1">IF(Z17="","",IF(Z17=3,2,IF(Z17="wo",0,1)))</f>
        <v>1</v>
      </c>
      <c r="AA16" s="374"/>
      <c r="AB16" s="374"/>
      <c r="AC16" s="173"/>
      <c r="AD16" s="367"/>
      <c r="AE16" s="368"/>
      <c r="AF16" s="368"/>
      <c r="AG16" s="368"/>
      <c r="AH16" s="369"/>
      <c r="AI16" s="174"/>
      <c r="AJ16" s="363">
        <f ca="1">IF(AJ17="","",IF(AJ17=3,2,IF(AJ17="wo",0,1)))</f>
        <v>1</v>
      </c>
      <c r="AK16" s="363"/>
      <c r="AL16" s="363"/>
      <c r="AM16" s="184"/>
      <c r="AN16" s="185"/>
      <c r="AO16" s="363">
        <f ca="1">IF(AO17="","",IF(AO17=3,2,IF(AO17="wo",0,1)))</f>
        <v>2</v>
      </c>
      <c r="AP16" s="363"/>
      <c r="AQ16" s="363"/>
      <c r="AR16" s="184"/>
      <c r="AS16" s="185"/>
      <c r="AT16" s="363">
        <f ca="1">IF(AT17="","",IF(AT17=3,2,IF(AT17="wo",0,1)))</f>
        <v>1</v>
      </c>
      <c r="AU16" s="363"/>
      <c r="AV16" s="363"/>
      <c r="AW16" s="184"/>
      <c r="AX16" s="185"/>
      <c r="AY16" s="363">
        <f ca="1">IF(AY17="","",IF(AY17=3,2,IF(AY17="wo",0,1)))</f>
        <v>1</v>
      </c>
      <c r="AZ16" s="363"/>
      <c r="BA16" s="363"/>
      <c r="BB16" s="175"/>
      <c r="BC16" s="362">
        <f ca="1">SUM(E16:BB16)</f>
        <v>10</v>
      </c>
      <c r="BD16" s="362"/>
      <c r="BE16" s="361">
        <f ca="1">IF(DF16="",_xlfn.RANK.EQ(BC16,$BC$6:$BC$25),DF16)</f>
        <v>7</v>
      </c>
      <c r="BF16" s="362">
        <f ca="1">BC16+D16</f>
        <v>10</v>
      </c>
      <c r="BG16" s="373"/>
      <c r="BH16" s="361">
        <f ca="1">IF(DG16="",_xlfn.RANK.EQ(BF16,$BF$6:$BF$25),DG16)</f>
        <v>7</v>
      </c>
      <c r="BJ16" s="359">
        <v>6</v>
      </c>
      <c r="BK16" s="359">
        <v>16</v>
      </c>
      <c r="BL16" s="206"/>
      <c r="BM16" s="206"/>
      <c r="BN16" s="206"/>
      <c r="BO16" s="206"/>
      <c r="BP16" s="359">
        <v>11</v>
      </c>
      <c r="BQ16" s="206"/>
      <c r="BR16" s="206"/>
      <c r="BS16" s="206"/>
      <c r="BT16" s="206"/>
      <c r="BU16" s="359">
        <v>7</v>
      </c>
      <c r="BV16" s="206"/>
      <c r="BW16" s="206"/>
      <c r="BX16" s="206"/>
      <c r="BY16" s="206"/>
      <c r="BZ16" s="359">
        <v>3</v>
      </c>
      <c r="CA16" s="206"/>
      <c r="CB16" s="206"/>
      <c r="CC16" s="206"/>
      <c r="CD16" s="206"/>
      <c r="CE16" s="359">
        <v>43</v>
      </c>
      <c r="CF16" s="206"/>
      <c r="CG16" s="206"/>
      <c r="CH16" s="206"/>
      <c r="CI16" s="206"/>
      <c r="CJ16" s="360" t="e">
        <v>#N/A</v>
      </c>
      <c r="CK16" s="207"/>
      <c r="CL16" s="207"/>
      <c r="CM16" s="207"/>
      <c r="CN16" s="207"/>
      <c r="CO16" s="359">
        <v>39</v>
      </c>
      <c r="CP16" s="206"/>
      <c r="CQ16" s="206"/>
      <c r="CR16" s="206"/>
      <c r="CS16" s="206"/>
      <c r="CT16" s="359">
        <v>29</v>
      </c>
      <c r="CU16" s="206"/>
      <c r="CV16" s="206"/>
      <c r="CW16" s="206"/>
      <c r="CX16" s="206"/>
      <c r="CY16" s="359">
        <v>34</v>
      </c>
      <c r="CZ16" s="206"/>
      <c r="DA16" s="206"/>
      <c r="DB16" s="206"/>
      <c r="DC16" s="206"/>
      <c r="DD16" s="359">
        <v>24</v>
      </c>
      <c r="DF16" s="358"/>
      <c r="DG16" s="358"/>
    </row>
    <row r="17" spans="2:111" ht="21" customHeight="1" x14ac:dyDescent="0.25">
      <c r="B17" s="364"/>
      <c r="C17" s="365"/>
      <c r="D17" s="362"/>
      <c r="E17" s="204"/>
      <c r="F17" s="204">
        <f ca="1">IF(INDIRECT(ADDRESS(11,2,1,0,BK16),FALSE)=$B16,INDIRECT(ADDRESS(21,209,1,0,BK16),FALSE),INDIRECT(ADDRESS(21,216,1,0,BK16),FALSE))</f>
        <v>0</v>
      </c>
      <c r="G17" s="204" t="str">
        <f ca="1">IF(OR(F17=3,H17=3),":","")</f>
        <v>:</v>
      </c>
      <c r="H17" s="204">
        <f ca="1">IF(INDIRECT(ADDRESS(11,2,1,0,BK16),FALSE)=$B16,INDIRECT(ADDRESS(21,216,1,0,BK16),FALSE),INDIRECT(ADDRESS(21,209,1,0,BK16),FALSE))</f>
        <v>3</v>
      </c>
      <c r="I17" s="170"/>
      <c r="J17" s="169"/>
      <c r="K17" s="204">
        <f ca="1">IF(INDIRECT(ADDRESS(11,2,1,0,BP16),FALSE)=$B16,INDIRECT(ADDRESS(21,209,1,0,BP16),FALSE),INDIRECT(ADDRESS(21,216,1,0,BP16),FALSE))</f>
        <v>0</v>
      </c>
      <c r="L17" s="204" t="str">
        <f ca="1">IF(OR(K17=3,M17=3),":","")</f>
        <v>:</v>
      </c>
      <c r="M17" s="204">
        <f ca="1">IF(INDIRECT(ADDRESS(11,2,1,0,BP16),FALSE)=$B16,INDIRECT(ADDRESS(21,216,1,0,BP16),FALSE),INDIRECT(ADDRESS(21,209,1,0,BP16),FALSE))</f>
        <v>3</v>
      </c>
      <c r="N17" s="170"/>
      <c r="O17" s="169"/>
      <c r="P17" s="204">
        <f ca="1">IF(INDIRECT(ADDRESS(11,2,1,0,BU16),FALSE)=$B16,INDIRECT(ADDRESS(21,209,1,0,BU16),FALSE),INDIRECT(ADDRESS(21,216,1,0,BU16),FALSE))</f>
        <v>0</v>
      </c>
      <c r="Q17" s="204" t="str">
        <f ca="1">IF(OR(P17=3,R17=3),":","")</f>
        <v>:</v>
      </c>
      <c r="R17" s="204">
        <f ca="1">IF(INDIRECT(ADDRESS(11,2,1,0,BU16),FALSE)=$B16,INDIRECT(ADDRESS(21,216,1,0,BU16),FALSE),INDIRECT(ADDRESS(21,209,1,0,BU16),FALSE))</f>
        <v>3</v>
      </c>
      <c r="S17" s="170"/>
      <c r="T17" s="169"/>
      <c r="U17" s="204">
        <f ca="1">IF(INDIRECT(ADDRESS(11,2,1,0,BZ16),FALSE)=$B16,INDIRECT(ADDRESS(21,209,1,0,BZ16),FALSE),INDIRECT(ADDRESS(21,216,1,0,BZ16),FALSE))</f>
        <v>0</v>
      </c>
      <c r="V17" s="204" t="str">
        <f ca="1">IF(OR(U17=3,W17=3),":","")</f>
        <v>:</v>
      </c>
      <c r="W17" s="204">
        <f ca="1">IF(INDIRECT(ADDRESS(11,2,1,0,BZ16),FALSE)=$B16,INDIRECT(ADDRESS(21,216,1,0,BZ16),FALSE),INDIRECT(ADDRESS(21,209,1,0,BZ16),FALSE))</f>
        <v>3</v>
      </c>
      <c r="X17" s="170"/>
      <c r="Y17" s="169"/>
      <c r="Z17" s="204">
        <f ca="1">IF(INDIRECT(ADDRESS(11,2,1,0,CE16),FALSE)=$B16,INDIRECT(ADDRESS(21,209,1,0,CE16),FALSE),INDIRECT(ADDRESS(21,216,1,0,CE16),FALSE))</f>
        <v>0</v>
      </c>
      <c r="AA17" s="204" t="str">
        <f ca="1">IF(OR(Z17=3,AB17=3),":","")</f>
        <v>:</v>
      </c>
      <c r="AB17" s="204">
        <f ca="1">IF(INDIRECT(ADDRESS(11,2,1,0,CE16),FALSE)=$B16,INDIRECT(ADDRESS(21,216,1,0,CE16),FALSE),INDIRECT(ADDRESS(21,209,1,0,CE16),FALSE))</f>
        <v>3</v>
      </c>
      <c r="AC17" s="170"/>
      <c r="AD17" s="370"/>
      <c r="AE17" s="371"/>
      <c r="AF17" s="371"/>
      <c r="AG17" s="371"/>
      <c r="AH17" s="372"/>
      <c r="AI17" s="169"/>
      <c r="AJ17" s="204">
        <f ca="1">IF(INDIRECT(ADDRESS(11,2,1,0,CO16),FALSE)=$B16,INDIRECT(ADDRESS(21,209,1,0,CO16),FALSE),INDIRECT(ADDRESS(21,216,1,0,CO16),FALSE))</f>
        <v>0</v>
      </c>
      <c r="AK17" s="204" t="str">
        <f ca="1">IF(OR(AJ17=3,AL17=3),":","")</f>
        <v>:</v>
      </c>
      <c r="AL17" s="204">
        <f ca="1">IF(INDIRECT(ADDRESS(11,2,1,0,CO16),FALSE)=$B16,INDIRECT(ADDRESS(21,216,1,0,CO16),FALSE),INDIRECT(ADDRESS(21,209,1,0,CO16),FALSE))</f>
        <v>3</v>
      </c>
      <c r="AM17" s="170"/>
      <c r="AN17" s="169"/>
      <c r="AO17" s="204">
        <f ca="1">IF(INDIRECT(ADDRESS(11,2,1,0,CT16),FALSE)=$B16,INDIRECT(ADDRESS(21,209,1,0,CT16),FALSE),INDIRECT(ADDRESS(21,216,1,0,CT16),FALSE))</f>
        <v>3</v>
      </c>
      <c r="AP17" s="204" t="str">
        <f ca="1">IF(OR(AO17=3,AQ17=3),":","")</f>
        <v>:</v>
      </c>
      <c r="AQ17" s="204">
        <f ca="1">IF(INDIRECT(ADDRESS(11,2,1,0,CT16),FALSE)=$B16,INDIRECT(ADDRESS(21,216,1,0,CT16),FALSE),INDIRECT(ADDRESS(21,209,1,0,CT16),FALSE))</f>
        <v>1</v>
      </c>
      <c r="AR17" s="170"/>
      <c r="AS17" s="169"/>
      <c r="AT17" s="204">
        <f ca="1">IF(INDIRECT(ADDRESS(11,2,1,0,CY16),FALSE)=$B16,INDIRECT(ADDRESS(21,209,1,0,CY16),FALSE),INDIRECT(ADDRESS(21,216,1,0,CY16),FALSE))</f>
        <v>0</v>
      </c>
      <c r="AU17" s="204" t="str">
        <f ca="1">IF(OR(AT17=3,AV17=3),":","")</f>
        <v>:</v>
      </c>
      <c r="AV17" s="204">
        <f ca="1">IF(INDIRECT(ADDRESS(11,2,1,0,CY16),FALSE)=$B16,INDIRECT(ADDRESS(21,216,1,0,CY16),FALSE),INDIRECT(ADDRESS(21,209,1,0,CY16),FALSE))</f>
        <v>3</v>
      </c>
      <c r="AW17" s="170"/>
      <c r="AX17" s="169"/>
      <c r="AY17" s="204">
        <f ca="1">IF(INDIRECT(ADDRESS(11,2,1,0,DD16),FALSE)=$B16,INDIRECT(ADDRESS(21,209,1,0,DD16),FALSE),INDIRECT(ADDRESS(21,216,1,0,DD16),FALSE))</f>
        <v>1</v>
      </c>
      <c r="AZ17" s="204" t="str">
        <f ca="1">IF(OR(AY17=3,BA17=3),":","")</f>
        <v>:</v>
      </c>
      <c r="BA17" s="204">
        <f ca="1">IF(INDIRECT(ADDRESS(11,2,1,0,DD16),FALSE)=$B16,INDIRECT(ADDRESS(21,216,1,0,DD16),FALSE),INDIRECT(ADDRESS(21,209,1,0,DD16),FALSE))</f>
        <v>3</v>
      </c>
      <c r="BB17" s="171"/>
      <c r="BC17" s="362"/>
      <c r="BD17" s="362"/>
      <c r="BE17" s="361"/>
      <c r="BF17" s="362"/>
      <c r="BG17" s="373"/>
      <c r="BH17" s="361"/>
      <c r="BJ17" s="359"/>
      <c r="BK17" s="359"/>
      <c r="BL17" s="206"/>
      <c r="BM17" s="206"/>
      <c r="BN17" s="206"/>
      <c r="BO17" s="206"/>
      <c r="BP17" s="359"/>
      <c r="BQ17" s="206"/>
      <c r="BR17" s="206"/>
      <c r="BS17" s="206"/>
      <c r="BT17" s="206"/>
      <c r="BU17" s="359"/>
      <c r="BV17" s="206"/>
      <c r="BW17" s="206"/>
      <c r="BX17" s="206"/>
      <c r="BY17" s="206"/>
      <c r="BZ17" s="359"/>
      <c r="CA17" s="206"/>
      <c r="CB17" s="206"/>
      <c r="CC17" s="206"/>
      <c r="CD17" s="206"/>
      <c r="CE17" s="359"/>
      <c r="CF17" s="206"/>
      <c r="CG17" s="206"/>
      <c r="CH17" s="206"/>
      <c r="CI17" s="206"/>
      <c r="CJ17" s="360"/>
      <c r="CK17" s="207"/>
      <c r="CL17" s="207"/>
      <c r="CM17" s="207"/>
      <c r="CN17" s="207"/>
      <c r="CO17" s="359"/>
      <c r="CP17" s="206"/>
      <c r="CQ17" s="206"/>
      <c r="CR17" s="206"/>
      <c r="CS17" s="206"/>
      <c r="CT17" s="359"/>
      <c r="CU17" s="206"/>
      <c r="CV17" s="206"/>
      <c r="CW17" s="206"/>
      <c r="CX17" s="206"/>
      <c r="CY17" s="359"/>
      <c r="CZ17" s="206"/>
      <c r="DA17" s="206"/>
      <c r="DB17" s="206"/>
      <c r="DC17" s="206"/>
      <c r="DD17" s="359"/>
      <c r="DF17" s="358"/>
      <c r="DG17" s="358"/>
    </row>
    <row r="18" spans="2:111" ht="21" customHeight="1" x14ac:dyDescent="0.3">
      <c r="B18" s="364">
        <v>7</v>
      </c>
      <c r="C18" s="365" t="str">
        <f>SUBSTITUTE(SUBSTITUTE(VLOOKUP(B18,Список!B:N,12,FALSE),")",""),"(","")</f>
        <v>«Спортшкола» г. Ялта</v>
      </c>
      <c r="D18" s="362"/>
      <c r="E18" s="172"/>
      <c r="F18" s="363">
        <f ca="1">IF(F19="","",IF(F19=3,2,IF(F19="wo",0,1)))</f>
        <v>1</v>
      </c>
      <c r="G18" s="363"/>
      <c r="H18" s="363"/>
      <c r="I18" s="184"/>
      <c r="J18" s="185"/>
      <c r="K18" s="363">
        <f ca="1">IF(K19="","",IF(K19=3,2,IF(K19="wo",0,1)))</f>
        <v>2</v>
      </c>
      <c r="L18" s="363"/>
      <c r="M18" s="363"/>
      <c r="N18" s="184"/>
      <c r="O18" s="185"/>
      <c r="P18" s="363">
        <f ca="1">IF(P19="","",IF(P19=3,2,IF(P19="wo",0,1)))</f>
        <v>1</v>
      </c>
      <c r="Q18" s="363"/>
      <c r="R18" s="363"/>
      <c r="S18" s="184"/>
      <c r="T18" s="185"/>
      <c r="U18" s="363">
        <f ca="1">IF(U19="","",IF(U19=3,2,IF(U19="wo",0,1)))</f>
        <v>1</v>
      </c>
      <c r="V18" s="363"/>
      <c r="W18" s="363"/>
      <c r="X18" s="184"/>
      <c r="Y18" s="185"/>
      <c r="Z18" s="363" t="str">
        <f ca="1">IF(Z19="","",IF(Z19=3,2,IF(Z19="wo",0,1)))</f>
        <v/>
      </c>
      <c r="AA18" s="363"/>
      <c r="AB18" s="363"/>
      <c r="AC18" s="184"/>
      <c r="AD18" s="185"/>
      <c r="AE18" s="363">
        <f ca="1">IF(AE19="","",IF(AE19=3,2,IF(AE19="wo",0,1)))</f>
        <v>2</v>
      </c>
      <c r="AF18" s="363"/>
      <c r="AG18" s="363"/>
      <c r="AH18" s="173"/>
      <c r="AI18" s="367"/>
      <c r="AJ18" s="368"/>
      <c r="AK18" s="368"/>
      <c r="AL18" s="368"/>
      <c r="AM18" s="369"/>
      <c r="AN18" s="174"/>
      <c r="AO18" s="363">
        <f ca="1">IF(AO19="","",IF(AO19=3,2,IF(AO19="wo",0,1)))</f>
        <v>2</v>
      </c>
      <c r="AP18" s="363"/>
      <c r="AQ18" s="363"/>
      <c r="AR18" s="184"/>
      <c r="AS18" s="185"/>
      <c r="AT18" s="363">
        <f ca="1">IF(AT19="","",IF(AT19=3,2,IF(AT19="wo",0,1)))</f>
        <v>1</v>
      </c>
      <c r="AU18" s="363"/>
      <c r="AV18" s="363"/>
      <c r="AW18" s="184"/>
      <c r="AX18" s="185"/>
      <c r="AY18" s="363">
        <f ca="1">IF(AY19="","",IF(AY19=3,2,IF(AY19="wo",0,1)))</f>
        <v>1</v>
      </c>
      <c r="AZ18" s="363"/>
      <c r="BA18" s="363"/>
      <c r="BB18" s="175"/>
      <c r="BC18" s="362">
        <f ca="1">SUM(E18:BB18)</f>
        <v>11</v>
      </c>
      <c r="BD18" s="362"/>
      <c r="BE18" s="361">
        <f ca="1">IF(DF18="",_xlfn.RANK.EQ(BC18,$BC$6:$BC$25),DF18)</f>
        <v>5</v>
      </c>
      <c r="BF18" s="362">
        <f ca="1">BC18+D18</f>
        <v>11</v>
      </c>
      <c r="BG18" s="373"/>
      <c r="BH18" s="361">
        <f ca="1">IF(DG18="",_xlfn.RANK.EQ(BF18,$BF$6:$BF$25),DG18)</f>
        <v>5</v>
      </c>
      <c r="BJ18" s="359">
        <v>7</v>
      </c>
      <c r="BK18" s="359">
        <v>12</v>
      </c>
      <c r="BL18" s="206"/>
      <c r="BM18" s="206"/>
      <c r="BN18" s="206"/>
      <c r="BO18" s="206"/>
      <c r="BP18" s="359">
        <v>6</v>
      </c>
      <c r="BQ18" s="206"/>
      <c r="BR18" s="206"/>
      <c r="BS18" s="206"/>
      <c r="BT18" s="206"/>
      <c r="BU18" s="359">
        <v>1</v>
      </c>
      <c r="BV18" s="206"/>
      <c r="BW18" s="206"/>
      <c r="BX18" s="206"/>
      <c r="BY18" s="206"/>
      <c r="BZ18" s="359">
        <v>33</v>
      </c>
      <c r="CA18" s="206"/>
      <c r="CB18" s="206"/>
      <c r="CC18" s="206"/>
      <c r="CD18" s="206"/>
      <c r="CE18" s="359">
        <v>18</v>
      </c>
      <c r="CF18" s="206"/>
      <c r="CG18" s="206"/>
      <c r="CH18" s="206"/>
      <c r="CI18" s="206"/>
      <c r="CJ18" s="359">
        <v>39</v>
      </c>
      <c r="CK18" s="206"/>
      <c r="CL18" s="206"/>
      <c r="CM18" s="206"/>
      <c r="CN18" s="206"/>
      <c r="CO18" s="360" t="e">
        <v>#N/A</v>
      </c>
      <c r="CP18" s="207"/>
      <c r="CQ18" s="207"/>
      <c r="CR18" s="207"/>
      <c r="CS18" s="207"/>
      <c r="CT18" s="359">
        <v>44</v>
      </c>
      <c r="CU18" s="206"/>
      <c r="CV18" s="206"/>
      <c r="CW18" s="206"/>
      <c r="CX18" s="206"/>
      <c r="CY18" s="359">
        <v>25</v>
      </c>
      <c r="CZ18" s="206"/>
      <c r="DA18" s="206"/>
      <c r="DB18" s="206"/>
      <c r="DC18" s="206"/>
      <c r="DD18" s="359">
        <v>30</v>
      </c>
      <c r="DF18" s="358"/>
      <c r="DG18" s="358"/>
    </row>
    <row r="19" spans="2:111" ht="21" customHeight="1" x14ac:dyDescent="0.25">
      <c r="B19" s="364"/>
      <c r="C19" s="365"/>
      <c r="D19" s="362"/>
      <c r="E19" s="204"/>
      <c r="F19" s="204">
        <f ca="1">IF(INDIRECT(ADDRESS(11,2,1,0,BK18),FALSE)=$B18,INDIRECT(ADDRESS(21,209,1,0,BK18),FALSE),INDIRECT(ADDRESS(21,216,1,0,BK18),FALSE))</f>
        <v>0</v>
      </c>
      <c r="G19" s="204" t="str">
        <f ca="1">IF(OR(F19=3,H19=3),":","")</f>
        <v>:</v>
      </c>
      <c r="H19" s="204">
        <f ca="1">IF(INDIRECT(ADDRESS(11,2,1,0,BK18),FALSE)=$B18,INDIRECT(ADDRESS(21,216,1,0,BK18),FALSE),INDIRECT(ADDRESS(21,209,1,0,BK18),FALSE))</f>
        <v>3</v>
      </c>
      <c r="I19" s="170"/>
      <c r="J19" s="169"/>
      <c r="K19" s="204">
        <f ca="1">IF(INDIRECT(ADDRESS(11,2,1,0,BP18),FALSE)=$B18,INDIRECT(ADDRESS(21,209,1,0,BP18),FALSE),INDIRECT(ADDRESS(21,216,1,0,BP18),FALSE))</f>
        <v>3</v>
      </c>
      <c r="L19" s="204" t="str">
        <f ca="1">IF(OR(K19=3,M19=3),":","")</f>
        <v>:</v>
      </c>
      <c r="M19" s="204">
        <f ca="1">IF(INDIRECT(ADDRESS(11,2,1,0,BP18),FALSE)=$B18,INDIRECT(ADDRESS(21,216,1,0,BP18),FALSE),INDIRECT(ADDRESS(21,209,1,0,BP18),FALSE))</f>
        <v>2</v>
      </c>
      <c r="N19" s="170"/>
      <c r="O19" s="169"/>
      <c r="P19" s="204">
        <f ca="1">IF(INDIRECT(ADDRESS(11,2,1,0,BU18),FALSE)=$B18,INDIRECT(ADDRESS(21,209,1,0,BU18),FALSE),INDIRECT(ADDRESS(21,216,1,0,BU18),FALSE))</f>
        <v>0</v>
      </c>
      <c r="Q19" s="204" t="str">
        <f ca="1">IF(OR(P19=3,R19=3),":","")</f>
        <v>:</v>
      </c>
      <c r="R19" s="204">
        <f ca="1">IF(INDIRECT(ADDRESS(11,2,1,0,BU18),FALSE)=$B18,INDIRECT(ADDRESS(21,216,1,0,BU18),FALSE),INDIRECT(ADDRESS(21,209,1,0,BU18),FALSE))</f>
        <v>3</v>
      </c>
      <c r="S19" s="170"/>
      <c r="T19" s="169"/>
      <c r="U19" s="204">
        <f ca="1">IF(INDIRECT(ADDRESS(11,2,1,0,BZ18),FALSE)=$B18,INDIRECT(ADDRESS(21,209,1,0,BZ18),FALSE),INDIRECT(ADDRESS(21,216,1,0,BZ18),FALSE))</f>
        <v>1</v>
      </c>
      <c r="V19" s="204" t="str">
        <f ca="1">IF(OR(U19=3,W19=3),":","")</f>
        <v>:</v>
      </c>
      <c r="W19" s="204">
        <f ca="1">IF(INDIRECT(ADDRESS(11,2,1,0,BZ18),FALSE)=$B18,INDIRECT(ADDRESS(21,216,1,0,BZ18),FALSE),INDIRECT(ADDRESS(21,209,1,0,BZ18),FALSE))</f>
        <v>3</v>
      </c>
      <c r="X19" s="170"/>
      <c r="Y19" s="169"/>
      <c r="Z19" s="204" t="str">
        <f ca="1">IF(INDIRECT(ADDRESS(11,2,1,0,CE18),FALSE)=$B18,INDIRECT(ADDRESS(21,209,1,0,CE18),FALSE),INDIRECT(ADDRESS(21,216,1,0,CE18),FALSE))</f>
        <v/>
      </c>
      <c r="AA19" s="204" t="str">
        <f ca="1">IF(OR(Z19=3,AB19=3),":","")</f>
        <v/>
      </c>
      <c r="AB19" s="204" t="str">
        <f ca="1">IF(INDIRECT(ADDRESS(11,2,1,0,CE18),FALSE)=$B18,INDIRECT(ADDRESS(21,216,1,0,CE18),FALSE),INDIRECT(ADDRESS(21,209,1,0,CE18),FALSE))</f>
        <v/>
      </c>
      <c r="AC19" s="170"/>
      <c r="AD19" s="169"/>
      <c r="AE19" s="204">
        <f ca="1">IF(INDIRECT(ADDRESS(11,2,1,0,CJ18),FALSE)=$B18,INDIRECT(ADDRESS(21,209,1,0,CJ18),FALSE),INDIRECT(ADDRESS(21,216,1,0,CJ18),FALSE))</f>
        <v>3</v>
      </c>
      <c r="AF19" s="204" t="str">
        <f ca="1">IF(OR(AE19=3,AG19=3),":","")</f>
        <v>:</v>
      </c>
      <c r="AG19" s="204">
        <f ca="1">IF(INDIRECT(ADDRESS(11,2,1,0,CJ18),FALSE)=$B18,INDIRECT(ADDRESS(21,216,1,0,CJ18),FALSE),INDIRECT(ADDRESS(21,209,1,0,CJ18),FALSE))</f>
        <v>0</v>
      </c>
      <c r="AH19" s="170"/>
      <c r="AI19" s="370"/>
      <c r="AJ19" s="371"/>
      <c r="AK19" s="371"/>
      <c r="AL19" s="371"/>
      <c r="AM19" s="372"/>
      <c r="AN19" s="169"/>
      <c r="AO19" s="204">
        <f ca="1">IF(INDIRECT(ADDRESS(11,2,1,0,CT18),FALSE)=$B18,INDIRECT(ADDRESS(21,209,1,0,CT18),FALSE),INDIRECT(ADDRESS(21,216,1,0,CT18),FALSE))</f>
        <v>3</v>
      </c>
      <c r="AP19" s="204" t="str">
        <f ca="1">IF(OR(AO19=3,AQ19=3),":","")</f>
        <v>:</v>
      </c>
      <c r="AQ19" s="204">
        <f ca="1">IF(INDIRECT(ADDRESS(11,2,1,0,CT18),FALSE)=$B18,INDIRECT(ADDRESS(21,216,1,0,CT18),FALSE),INDIRECT(ADDRESS(21,209,1,0,CT18),FALSE))</f>
        <v>1</v>
      </c>
      <c r="AR19" s="170"/>
      <c r="AS19" s="169"/>
      <c r="AT19" s="204">
        <f ca="1">IF(INDIRECT(ADDRESS(11,2,1,0,CY18),FALSE)=$B18,INDIRECT(ADDRESS(21,209,1,0,CY18),FALSE),INDIRECT(ADDRESS(21,216,1,0,CY18),FALSE))</f>
        <v>2</v>
      </c>
      <c r="AU19" s="204" t="str">
        <f ca="1">IF(OR(AT19=3,AV19=3),":","")</f>
        <v/>
      </c>
      <c r="AV19" s="204">
        <f ca="1">IF(INDIRECT(ADDRESS(11,2,1,0,CY18),FALSE)=$B18,INDIRECT(ADDRESS(21,216,1,0,CY18),FALSE),INDIRECT(ADDRESS(21,209,1,0,CY18),FALSE))</f>
        <v>2</v>
      </c>
      <c r="AW19" s="170"/>
      <c r="AX19" s="169"/>
      <c r="AY19" s="204">
        <f ca="1">IF(INDIRECT(ADDRESS(11,2,1,0,DD18),FALSE)=$B18,INDIRECT(ADDRESS(21,209,1,0,DD18),FALSE),INDIRECT(ADDRESS(21,216,1,0,DD18),FALSE))</f>
        <v>1</v>
      </c>
      <c r="AZ19" s="204" t="str">
        <f ca="1">IF(OR(AY19=3,BA19=3),":","")</f>
        <v>:</v>
      </c>
      <c r="BA19" s="204">
        <f ca="1">IF(INDIRECT(ADDRESS(11,2,1,0,DD18),FALSE)=$B18,INDIRECT(ADDRESS(21,216,1,0,DD18),FALSE),INDIRECT(ADDRESS(21,209,1,0,DD18),FALSE))</f>
        <v>3</v>
      </c>
      <c r="BB19" s="171"/>
      <c r="BC19" s="362"/>
      <c r="BD19" s="362"/>
      <c r="BE19" s="361"/>
      <c r="BF19" s="362"/>
      <c r="BG19" s="373"/>
      <c r="BH19" s="361"/>
      <c r="BJ19" s="359"/>
      <c r="BK19" s="359"/>
      <c r="BL19" s="206"/>
      <c r="BM19" s="206"/>
      <c r="BN19" s="206"/>
      <c r="BO19" s="206"/>
      <c r="BP19" s="359"/>
      <c r="BQ19" s="206"/>
      <c r="BR19" s="206"/>
      <c r="BS19" s="206"/>
      <c r="BT19" s="206"/>
      <c r="BU19" s="359"/>
      <c r="BV19" s="206"/>
      <c r="BW19" s="206"/>
      <c r="BX19" s="206"/>
      <c r="BY19" s="206"/>
      <c r="BZ19" s="359"/>
      <c r="CA19" s="206"/>
      <c r="CB19" s="206"/>
      <c r="CC19" s="206"/>
      <c r="CD19" s="206"/>
      <c r="CE19" s="359"/>
      <c r="CF19" s="206"/>
      <c r="CG19" s="206"/>
      <c r="CH19" s="206"/>
      <c r="CI19" s="206"/>
      <c r="CJ19" s="359"/>
      <c r="CK19" s="206"/>
      <c r="CL19" s="206"/>
      <c r="CM19" s="206"/>
      <c r="CN19" s="206"/>
      <c r="CO19" s="360"/>
      <c r="CP19" s="207"/>
      <c r="CQ19" s="207"/>
      <c r="CR19" s="207"/>
      <c r="CS19" s="207"/>
      <c r="CT19" s="359"/>
      <c r="CU19" s="206"/>
      <c r="CV19" s="206"/>
      <c r="CW19" s="206"/>
      <c r="CX19" s="206"/>
      <c r="CY19" s="359"/>
      <c r="CZ19" s="206"/>
      <c r="DA19" s="206"/>
      <c r="DB19" s="206"/>
      <c r="DC19" s="206"/>
      <c r="DD19" s="359"/>
      <c r="DF19" s="358"/>
      <c r="DG19" s="358"/>
    </row>
    <row r="20" spans="2:111" ht="21" customHeight="1" x14ac:dyDescent="0.3">
      <c r="B20" s="364">
        <v>8</v>
      </c>
      <c r="C20" s="365" t="str">
        <f>SUBSTITUTE(SUBSTITUTE(VLOOKUP(B20,Список!B:N,12,FALSE),")",""),"(","")</f>
        <v>«СШ №31» г.Симферополь</v>
      </c>
      <c r="D20" s="362"/>
      <c r="E20" s="172"/>
      <c r="F20" s="363">
        <f ca="1">IF(F21="","",IF(F21=3,2,IF(F21="wo",0,1)))</f>
        <v>1</v>
      </c>
      <c r="G20" s="363"/>
      <c r="H20" s="363"/>
      <c r="I20" s="184"/>
      <c r="J20" s="185"/>
      <c r="K20" s="363">
        <f ca="1">IF(K21="","",IF(K21=3,2,IF(K21="wo",0,1)))</f>
        <v>1</v>
      </c>
      <c r="L20" s="363"/>
      <c r="M20" s="363"/>
      <c r="N20" s="184"/>
      <c r="O20" s="185"/>
      <c r="P20" s="363">
        <f ca="1">IF(P21="","",IF(P21=3,2,IF(P21="wo",0,1)))</f>
        <v>1</v>
      </c>
      <c r="Q20" s="363"/>
      <c r="R20" s="363"/>
      <c r="S20" s="184"/>
      <c r="T20" s="185"/>
      <c r="U20" s="363" t="str">
        <f ca="1">IF(U21="","",IF(U21=3,2,IF(U21="wo",0,1)))</f>
        <v/>
      </c>
      <c r="V20" s="363"/>
      <c r="W20" s="363"/>
      <c r="X20" s="184"/>
      <c r="Y20" s="185"/>
      <c r="Z20" s="363">
        <f ca="1">IF(Z21="","",IF(Z21=3,2,IF(Z21="wo",0,1)))</f>
        <v>2</v>
      </c>
      <c r="AA20" s="363"/>
      <c r="AB20" s="363"/>
      <c r="AC20" s="184"/>
      <c r="AD20" s="185"/>
      <c r="AE20" s="363">
        <f ca="1">IF(AE21="","",IF(AE21=3,2,IF(AE21="wo",0,1)))</f>
        <v>1</v>
      </c>
      <c r="AF20" s="363"/>
      <c r="AG20" s="363"/>
      <c r="AH20" s="184"/>
      <c r="AI20" s="185"/>
      <c r="AJ20" s="363">
        <f ca="1">IF(AJ21="","",IF(AJ21=3,2,IF(AJ21="wo",0,1)))</f>
        <v>1</v>
      </c>
      <c r="AK20" s="363"/>
      <c r="AL20" s="363"/>
      <c r="AM20" s="173"/>
      <c r="AN20" s="367"/>
      <c r="AO20" s="368"/>
      <c r="AP20" s="368"/>
      <c r="AQ20" s="368"/>
      <c r="AR20" s="369"/>
      <c r="AS20" s="174"/>
      <c r="AT20" s="363" t="str">
        <f ca="1">IF(AT21="","",IF(AT21=3,2,IF(AT21="wo",0,1)))</f>
        <v/>
      </c>
      <c r="AU20" s="363"/>
      <c r="AV20" s="363"/>
      <c r="AW20" s="184"/>
      <c r="AX20" s="185"/>
      <c r="AY20" s="363">
        <f ca="1">IF(AY21="","",IF(AY21=3,2,IF(AY21="wo",0,1)))</f>
        <v>1</v>
      </c>
      <c r="AZ20" s="363"/>
      <c r="BA20" s="363"/>
      <c r="BB20" s="175"/>
      <c r="BC20" s="362">
        <f ca="1">SUM(E20:BB20)</f>
        <v>8</v>
      </c>
      <c r="BD20" s="362"/>
      <c r="BE20" s="361">
        <f ca="1">IF(DF20="",_xlfn.RANK.EQ(BC20,$BC$6:$BC$25),DF20)</f>
        <v>10</v>
      </c>
      <c r="BF20" s="362">
        <f ca="1">BC20+D20</f>
        <v>8</v>
      </c>
      <c r="BG20" s="373"/>
      <c r="BH20" s="361">
        <f ca="1">IF(DG20="",_xlfn.RANK.EQ(BF20,$BF$6:$BF$25),DG20)</f>
        <v>10</v>
      </c>
      <c r="BJ20" s="359">
        <v>8</v>
      </c>
      <c r="BK20" s="359">
        <v>8</v>
      </c>
      <c r="BL20" s="206"/>
      <c r="BM20" s="206"/>
      <c r="BN20" s="206"/>
      <c r="BO20" s="206"/>
      <c r="BP20" s="359">
        <v>2</v>
      </c>
      <c r="BQ20" s="206"/>
      <c r="BR20" s="206"/>
      <c r="BS20" s="206"/>
      <c r="BT20" s="206"/>
      <c r="BU20" s="359">
        <v>23</v>
      </c>
      <c r="BV20" s="206"/>
      <c r="BW20" s="206"/>
      <c r="BX20" s="206"/>
      <c r="BY20" s="206"/>
      <c r="BZ20" s="359">
        <v>20</v>
      </c>
      <c r="CA20" s="206"/>
      <c r="CB20" s="206"/>
      <c r="CC20" s="206"/>
      <c r="CD20" s="206"/>
      <c r="CE20" s="359">
        <v>14</v>
      </c>
      <c r="CF20" s="206"/>
      <c r="CG20" s="206"/>
      <c r="CH20" s="206"/>
      <c r="CI20" s="206"/>
      <c r="CJ20" s="359">
        <v>29</v>
      </c>
      <c r="CK20" s="206"/>
      <c r="CL20" s="206"/>
      <c r="CM20" s="206"/>
      <c r="CN20" s="206"/>
      <c r="CO20" s="359">
        <v>44</v>
      </c>
      <c r="CP20" s="206"/>
      <c r="CQ20" s="206"/>
      <c r="CR20" s="206"/>
      <c r="CS20" s="206"/>
      <c r="CT20" s="360" t="e">
        <v>#N/A</v>
      </c>
      <c r="CU20" s="207"/>
      <c r="CV20" s="207"/>
      <c r="CW20" s="207"/>
      <c r="CX20" s="207"/>
      <c r="CY20" s="359">
        <v>40</v>
      </c>
      <c r="CZ20" s="206"/>
      <c r="DA20" s="206"/>
      <c r="DB20" s="206"/>
      <c r="DC20" s="206"/>
      <c r="DD20" s="359">
        <v>35</v>
      </c>
      <c r="DF20" s="358"/>
      <c r="DG20" s="358"/>
    </row>
    <row r="21" spans="2:111" ht="21" customHeight="1" x14ac:dyDescent="0.25">
      <c r="B21" s="364"/>
      <c r="C21" s="365"/>
      <c r="D21" s="362"/>
      <c r="E21" s="204"/>
      <c r="F21" s="204">
        <f ca="1">IF(INDIRECT(ADDRESS(11,2,1,0,BK20),FALSE)=$B20,INDIRECT(ADDRESS(21,209,1,0,BK20),FALSE),INDIRECT(ADDRESS(21,216,1,0,BK20),FALSE))</f>
        <v>1</v>
      </c>
      <c r="G21" s="204" t="str">
        <f ca="1">IF(OR(F21=3,H21=3),":","")</f>
        <v>:</v>
      </c>
      <c r="H21" s="204">
        <f ca="1">IF(INDIRECT(ADDRESS(11,2,1,0,BK20),FALSE)=$B20,INDIRECT(ADDRESS(21,216,1,0,BK20),FALSE),INDIRECT(ADDRESS(21,209,1,0,BK20),FALSE))</f>
        <v>3</v>
      </c>
      <c r="I21" s="170"/>
      <c r="J21" s="169"/>
      <c r="K21" s="204">
        <f ca="1">IF(INDIRECT(ADDRESS(11,2,1,0,BP20),FALSE)=$B20,INDIRECT(ADDRESS(21,209,1,0,BP20),FALSE),INDIRECT(ADDRESS(21,216,1,0,BP20),FALSE))</f>
        <v>1</v>
      </c>
      <c r="L21" s="204" t="str">
        <f ca="1">IF(OR(K21=3,M21=3),":","")</f>
        <v>:</v>
      </c>
      <c r="M21" s="204">
        <f ca="1">IF(INDIRECT(ADDRESS(11,2,1,0,BP20),FALSE)=$B20,INDIRECT(ADDRESS(21,216,1,0,BP20),FALSE),INDIRECT(ADDRESS(21,209,1,0,BP20),FALSE))</f>
        <v>3</v>
      </c>
      <c r="N21" s="170"/>
      <c r="O21" s="169"/>
      <c r="P21" s="204">
        <f ca="1">IF(INDIRECT(ADDRESS(11,2,1,0,BU20),FALSE)=$B20,INDIRECT(ADDRESS(21,209,1,0,BU20),FALSE),INDIRECT(ADDRESS(21,216,1,0,BU20),FALSE))</f>
        <v>1</v>
      </c>
      <c r="Q21" s="204" t="str">
        <f ca="1">IF(OR(P21=3,R21=3),":","")</f>
        <v/>
      </c>
      <c r="R21" s="204">
        <f ca="1">IF(INDIRECT(ADDRESS(11,2,1,0,BU20),FALSE)=$B20,INDIRECT(ADDRESS(21,216,1,0,BU20),FALSE),INDIRECT(ADDRESS(21,209,1,0,BU20),FALSE))</f>
        <v>1</v>
      </c>
      <c r="S21" s="170"/>
      <c r="T21" s="169"/>
      <c r="U21" s="204" t="str">
        <f ca="1">IF(INDIRECT(ADDRESS(11,2,1,0,BZ20),FALSE)=$B20,INDIRECT(ADDRESS(21,209,1,0,BZ20),FALSE),INDIRECT(ADDRESS(21,216,1,0,BZ20),FALSE))</f>
        <v/>
      </c>
      <c r="V21" s="204" t="str">
        <f ca="1">IF(OR(U21=3,W21=3),":","")</f>
        <v/>
      </c>
      <c r="W21" s="204" t="str">
        <f ca="1">IF(INDIRECT(ADDRESS(11,2,1,0,BZ20),FALSE)=$B20,INDIRECT(ADDRESS(21,216,1,0,BZ20),FALSE),INDIRECT(ADDRESS(21,209,1,0,BZ20),FALSE))</f>
        <v/>
      </c>
      <c r="X21" s="170"/>
      <c r="Y21" s="169"/>
      <c r="Z21" s="204">
        <f ca="1">IF(INDIRECT(ADDRESS(11,2,1,0,CE20),FALSE)=$B20,INDIRECT(ADDRESS(21,209,1,0,CE20),FALSE),INDIRECT(ADDRESS(21,216,1,0,CE20),FALSE))</f>
        <v>3</v>
      </c>
      <c r="AA21" s="204" t="str">
        <f ca="1">IF(OR(Z21=3,AB21=3),":","")</f>
        <v>:</v>
      </c>
      <c r="AB21" s="204">
        <f ca="1">IF(INDIRECT(ADDRESS(11,2,1,0,CE20),FALSE)=$B20,INDIRECT(ADDRESS(21,216,1,0,CE20),FALSE),INDIRECT(ADDRESS(21,209,1,0,CE20),FALSE))</f>
        <v>1</v>
      </c>
      <c r="AC21" s="170"/>
      <c r="AD21" s="169"/>
      <c r="AE21" s="204">
        <f ca="1">IF(INDIRECT(ADDRESS(11,2,1,0,CJ20),FALSE)=$B20,INDIRECT(ADDRESS(21,209,1,0,CJ20),FALSE),INDIRECT(ADDRESS(21,216,1,0,CJ20),FALSE))</f>
        <v>1</v>
      </c>
      <c r="AF21" s="204" t="str">
        <f ca="1">IF(OR(AE21=3,AG21=3),":","")</f>
        <v>:</v>
      </c>
      <c r="AG21" s="204">
        <f ca="1">IF(INDIRECT(ADDRESS(11,2,1,0,CJ20),FALSE)=$B20,INDIRECT(ADDRESS(21,216,1,0,CJ20),FALSE),INDIRECT(ADDRESS(21,209,1,0,CJ20),FALSE))</f>
        <v>3</v>
      </c>
      <c r="AH21" s="170"/>
      <c r="AI21" s="169"/>
      <c r="AJ21" s="204">
        <f ca="1">IF(INDIRECT(ADDRESS(11,2,1,0,CO20),FALSE)=$B20,INDIRECT(ADDRESS(21,209,1,0,CO20),FALSE),INDIRECT(ADDRESS(21,216,1,0,CO20),FALSE))</f>
        <v>1</v>
      </c>
      <c r="AK21" s="204" t="str">
        <f ca="1">IF(OR(AJ21=3,AL21=3),":","")</f>
        <v>:</v>
      </c>
      <c r="AL21" s="204">
        <f ca="1">IF(INDIRECT(ADDRESS(11,2,1,0,CO20),FALSE)=$B20,INDIRECT(ADDRESS(21,216,1,0,CO20),FALSE),INDIRECT(ADDRESS(21,209,1,0,CO20),FALSE))</f>
        <v>3</v>
      </c>
      <c r="AM21" s="170"/>
      <c r="AN21" s="370"/>
      <c r="AO21" s="371"/>
      <c r="AP21" s="371"/>
      <c r="AQ21" s="371"/>
      <c r="AR21" s="372"/>
      <c r="AS21" s="169"/>
      <c r="AT21" s="204" t="str">
        <f ca="1">IF(INDIRECT(ADDRESS(11,2,1,0,CY20),FALSE)=$B20,INDIRECT(ADDRESS(21,209,1,0,CY20),FALSE),INDIRECT(ADDRESS(21,216,1,0,CY20),FALSE))</f>
        <v/>
      </c>
      <c r="AU21" s="204" t="str">
        <f ca="1">IF(OR(AT21=3,AV21=3),":","")</f>
        <v/>
      </c>
      <c r="AV21" s="204" t="str">
        <f ca="1">IF(INDIRECT(ADDRESS(11,2,1,0,CY20),FALSE)=$B20,INDIRECT(ADDRESS(21,216,1,0,CY20),FALSE),INDIRECT(ADDRESS(21,209,1,0,CY20),FALSE))</f>
        <v/>
      </c>
      <c r="AW21" s="170"/>
      <c r="AX21" s="169"/>
      <c r="AY21" s="204">
        <f ca="1">IF(INDIRECT(ADDRESS(11,2,1,0,DD20),FALSE)=$B20,INDIRECT(ADDRESS(21,209,1,0,DD20),FALSE),INDIRECT(ADDRESS(21,216,1,0,DD20),FALSE))</f>
        <v>1</v>
      </c>
      <c r="AZ21" s="204" t="str">
        <f ca="1">IF(OR(AY21=3,BA21=3),":","")</f>
        <v>:</v>
      </c>
      <c r="BA21" s="204">
        <f ca="1">IF(INDIRECT(ADDRESS(11,2,1,0,DD20),FALSE)=$B20,INDIRECT(ADDRESS(21,216,1,0,DD20),FALSE),INDIRECT(ADDRESS(21,209,1,0,DD20),FALSE))</f>
        <v>3</v>
      </c>
      <c r="BB21" s="171"/>
      <c r="BC21" s="362"/>
      <c r="BD21" s="362"/>
      <c r="BE21" s="361"/>
      <c r="BF21" s="362"/>
      <c r="BG21" s="373"/>
      <c r="BH21" s="361"/>
      <c r="BJ21" s="359"/>
      <c r="BK21" s="359"/>
      <c r="BL21" s="206"/>
      <c r="BM21" s="206"/>
      <c r="BN21" s="206"/>
      <c r="BO21" s="206"/>
      <c r="BP21" s="359"/>
      <c r="BQ21" s="206"/>
      <c r="BR21" s="206"/>
      <c r="BS21" s="206"/>
      <c r="BT21" s="206"/>
      <c r="BU21" s="359"/>
      <c r="BV21" s="206"/>
      <c r="BW21" s="206"/>
      <c r="BX21" s="206"/>
      <c r="BY21" s="206"/>
      <c r="BZ21" s="359"/>
      <c r="CA21" s="206"/>
      <c r="CB21" s="206"/>
      <c r="CC21" s="206"/>
      <c r="CD21" s="206"/>
      <c r="CE21" s="359"/>
      <c r="CF21" s="206"/>
      <c r="CG21" s="206"/>
      <c r="CH21" s="206"/>
      <c r="CI21" s="206"/>
      <c r="CJ21" s="359"/>
      <c r="CK21" s="206"/>
      <c r="CL21" s="206"/>
      <c r="CM21" s="206"/>
      <c r="CN21" s="206"/>
      <c r="CO21" s="359"/>
      <c r="CP21" s="206"/>
      <c r="CQ21" s="206"/>
      <c r="CR21" s="206"/>
      <c r="CS21" s="206"/>
      <c r="CT21" s="360"/>
      <c r="CU21" s="207"/>
      <c r="CV21" s="207"/>
      <c r="CW21" s="207"/>
      <c r="CX21" s="207"/>
      <c r="CY21" s="359"/>
      <c r="CZ21" s="206"/>
      <c r="DA21" s="206"/>
      <c r="DB21" s="206"/>
      <c r="DC21" s="206"/>
      <c r="DD21" s="359"/>
      <c r="DF21" s="358"/>
      <c r="DG21" s="358"/>
    </row>
    <row r="22" spans="2:111" ht="21" customHeight="1" x14ac:dyDescent="0.3">
      <c r="B22" s="364">
        <v>9</v>
      </c>
      <c r="C22" s="365" t="str">
        <f>SUBSTITUTE(SUBSTITUTE(VLOOKUP(B22,Список!B:N,12,FALSE),")",""),"(","")</f>
        <v>"Спортшкола - Юноши" г.Ялта</v>
      </c>
      <c r="D22" s="362"/>
      <c r="E22" s="172"/>
      <c r="F22" s="363">
        <f ca="1">IF(F23="","",IF(F23=3,2,IF(F23="wo",0,1)))</f>
        <v>1</v>
      </c>
      <c r="G22" s="363"/>
      <c r="H22" s="363"/>
      <c r="I22" s="184"/>
      <c r="J22" s="185"/>
      <c r="K22" s="363">
        <f ca="1">IF(K23="","",IF(K23=3,2,IF(K23="wo",0,1)))</f>
        <v>1</v>
      </c>
      <c r="L22" s="363"/>
      <c r="M22" s="363"/>
      <c r="N22" s="184"/>
      <c r="O22" s="185"/>
      <c r="P22" s="363">
        <f ca="1">IF(P23="","",IF(P23=3,2,IF(P23="wo",0,1)))</f>
        <v>1</v>
      </c>
      <c r="Q22" s="363"/>
      <c r="R22" s="363"/>
      <c r="S22" s="184"/>
      <c r="T22" s="185"/>
      <c r="U22" s="363">
        <f ca="1">IF(U23="","",IF(U23=3,2,IF(U23="wo",0,1)))</f>
        <v>1</v>
      </c>
      <c r="V22" s="363"/>
      <c r="W22" s="363"/>
      <c r="X22" s="184"/>
      <c r="Y22" s="185"/>
      <c r="Z22" s="363">
        <f ca="1">IF(Z23="","",IF(Z23=3,2,IF(Z23="wo",0,1)))</f>
        <v>1</v>
      </c>
      <c r="AA22" s="363"/>
      <c r="AB22" s="363"/>
      <c r="AC22" s="184"/>
      <c r="AD22" s="185"/>
      <c r="AE22" s="363">
        <f ca="1">IF(AE23="","",IF(AE23=3,2,IF(AE23="wo",0,1)))</f>
        <v>2</v>
      </c>
      <c r="AF22" s="363"/>
      <c r="AG22" s="363"/>
      <c r="AH22" s="184"/>
      <c r="AI22" s="185"/>
      <c r="AJ22" s="363">
        <f ca="1">IF(AJ23="","",IF(AJ23=3,2,IF(AJ23="wo",0,1)))</f>
        <v>1</v>
      </c>
      <c r="AK22" s="363"/>
      <c r="AL22" s="363"/>
      <c r="AM22" s="184"/>
      <c r="AN22" s="185"/>
      <c r="AO22" s="363" t="str">
        <f ca="1">IF(AO23="","",IF(AO23=3,2,IF(AO23="wo",0,1)))</f>
        <v/>
      </c>
      <c r="AP22" s="363"/>
      <c r="AQ22" s="363"/>
      <c r="AR22" s="173"/>
      <c r="AS22" s="367"/>
      <c r="AT22" s="368"/>
      <c r="AU22" s="368"/>
      <c r="AV22" s="368"/>
      <c r="AW22" s="369"/>
      <c r="AX22" s="174"/>
      <c r="AY22" s="363">
        <f ca="1">IF(AY23="","",IF(AY23=3,2,IF(AY23="wo",0,1)))</f>
        <v>1</v>
      </c>
      <c r="AZ22" s="363"/>
      <c r="BA22" s="363"/>
      <c r="BB22" s="175"/>
      <c r="BC22" s="362">
        <f ca="1">SUM(E22:BB22)</f>
        <v>9</v>
      </c>
      <c r="BD22" s="362"/>
      <c r="BE22" s="361">
        <f ca="1">IF(DF22="",_xlfn.RANK.EQ(BC22,$BC$6:$BC$25),DF22)</f>
        <v>8</v>
      </c>
      <c r="BF22" s="362">
        <f ca="1">BC22+D22</f>
        <v>9</v>
      </c>
      <c r="BG22" s="366"/>
      <c r="BH22" s="361">
        <f ca="1">IF(DG22="",_xlfn.RANK.EQ(BF22,$BF$6:$BF$25),DG22)</f>
        <v>8</v>
      </c>
      <c r="BJ22" s="359">
        <v>9</v>
      </c>
      <c r="BK22" s="359">
        <v>4</v>
      </c>
      <c r="BL22" s="206"/>
      <c r="BM22" s="206"/>
      <c r="BN22" s="206"/>
      <c r="BO22" s="206"/>
      <c r="BP22" s="359">
        <v>28</v>
      </c>
      <c r="BQ22" s="206"/>
      <c r="BR22" s="206"/>
      <c r="BS22" s="206"/>
      <c r="BT22" s="206"/>
      <c r="BU22" s="359">
        <v>19</v>
      </c>
      <c r="BV22" s="206"/>
      <c r="BW22" s="206"/>
      <c r="BX22" s="206"/>
      <c r="BY22" s="206"/>
      <c r="BZ22" s="359">
        <v>15</v>
      </c>
      <c r="CA22" s="206"/>
      <c r="CB22" s="206"/>
      <c r="CC22" s="206"/>
      <c r="CD22" s="206"/>
      <c r="CE22" s="359">
        <v>10</v>
      </c>
      <c r="CF22" s="206"/>
      <c r="CG22" s="206"/>
      <c r="CH22" s="206"/>
      <c r="CI22" s="206"/>
      <c r="CJ22" s="359">
        <v>34</v>
      </c>
      <c r="CK22" s="206"/>
      <c r="CL22" s="206"/>
      <c r="CM22" s="206"/>
      <c r="CN22" s="206"/>
      <c r="CO22" s="359">
        <v>25</v>
      </c>
      <c r="CP22" s="206"/>
      <c r="CQ22" s="206"/>
      <c r="CR22" s="206"/>
      <c r="CS22" s="206"/>
      <c r="CT22" s="359">
        <v>40</v>
      </c>
      <c r="CU22" s="206"/>
      <c r="CV22" s="206"/>
      <c r="CW22" s="206"/>
      <c r="CX22" s="206"/>
      <c r="CY22" s="360" t="e">
        <v>#N/A</v>
      </c>
      <c r="CZ22" s="207"/>
      <c r="DA22" s="207"/>
      <c r="DB22" s="207"/>
      <c r="DC22" s="207"/>
      <c r="DD22" s="359">
        <v>45</v>
      </c>
      <c r="DF22" s="358"/>
      <c r="DG22" s="358"/>
    </row>
    <row r="23" spans="2:111" ht="21" customHeight="1" x14ac:dyDescent="0.25">
      <c r="B23" s="364"/>
      <c r="C23" s="365"/>
      <c r="D23" s="362"/>
      <c r="E23" s="204"/>
      <c r="F23" s="204">
        <f ca="1">IF(INDIRECT(ADDRESS(11,2,1,0,BK22),FALSE)=$B22,INDIRECT(ADDRESS(21,209,1,0,BK22),FALSE),INDIRECT(ADDRESS(21,216,1,0,BK22),FALSE))</f>
        <v>0</v>
      </c>
      <c r="G23" s="204" t="str">
        <f ca="1">IF(OR(F23=3,H23=3),":","")</f>
        <v>:</v>
      </c>
      <c r="H23" s="204">
        <f ca="1">IF(INDIRECT(ADDRESS(11,2,1,0,BK22),FALSE)=$B22,INDIRECT(ADDRESS(21,216,1,0,BK22),FALSE),INDIRECT(ADDRESS(21,209,1,0,BK22),FALSE))</f>
        <v>3</v>
      </c>
      <c r="I23" s="170"/>
      <c r="J23" s="169"/>
      <c r="K23" s="204">
        <f ca="1">IF(INDIRECT(ADDRESS(11,2,1,0,BP22),FALSE)=$B22,INDIRECT(ADDRESS(21,209,1,0,BP22),FALSE),INDIRECT(ADDRESS(21,216,1,0,BP22),FALSE))</f>
        <v>0</v>
      </c>
      <c r="L23" s="204" t="str">
        <f ca="1">IF(OR(K23=3,M23=3),":","")</f>
        <v>:</v>
      </c>
      <c r="M23" s="204">
        <f ca="1">IF(INDIRECT(ADDRESS(11,2,1,0,BP22),FALSE)=$B22,INDIRECT(ADDRESS(21,216,1,0,BP22),FALSE),INDIRECT(ADDRESS(21,209,1,0,BP22),FALSE))</f>
        <v>3</v>
      </c>
      <c r="N23" s="170"/>
      <c r="O23" s="169"/>
      <c r="P23" s="204">
        <f ca="1">IF(INDIRECT(ADDRESS(11,2,1,0,BU22),FALSE)=$B22,INDIRECT(ADDRESS(21,209,1,0,BU22),FALSE),INDIRECT(ADDRESS(21,216,1,0,BU22),FALSE))</f>
        <v>1</v>
      </c>
      <c r="Q23" s="204" t="str">
        <f ca="1">IF(OR(P23=3,R23=3),":","")</f>
        <v>:</v>
      </c>
      <c r="R23" s="204">
        <f ca="1">IF(INDIRECT(ADDRESS(11,2,1,0,BU22),FALSE)=$B22,INDIRECT(ADDRESS(21,216,1,0,BU22),FALSE),INDIRECT(ADDRESS(21,209,1,0,BU22),FALSE))</f>
        <v>3</v>
      </c>
      <c r="S23" s="170"/>
      <c r="T23" s="169"/>
      <c r="U23" s="204">
        <f ca="1">IF(INDIRECT(ADDRESS(11,2,1,0,BZ22),FALSE)=$B22,INDIRECT(ADDRESS(21,209,1,0,BZ22),FALSE),INDIRECT(ADDRESS(21,216,1,0,BZ22),FALSE))</f>
        <v>0</v>
      </c>
      <c r="V23" s="204" t="str">
        <f ca="1">IF(OR(U23=3,W23=3),":","")</f>
        <v>:</v>
      </c>
      <c r="W23" s="204">
        <f ca="1">IF(INDIRECT(ADDRESS(11,2,1,0,BZ22),FALSE)=$B22,INDIRECT(ADDRESS(21,216,1,0,BZ22),FALSE),INDIRECT(ADDRESS(21,209,1,0,BZ22),FALSE))</f>
        <v>3</v>
      </c>
      <c r="X23" s="170"/>
      <c r="Y23" s="169"/>
      <c r="Z23" s="204">
        <f ca="1">IF(INDIRECT(ADDRESS(11,2,1,0,CE22),FALSE)=$B22,INDIRECT(ADDRESS(21,209,1,0,CE22),FALSE),INDIRECT(ADDRESS(21,216,1,0,CE22),FALSE))</f>
        <v>0</v>
      </c>
      <c r="AA23" s="204" t="str">
        <f ca="1">IF(OR(Z23=3,AB23=3),":","")</f>
        <v>:</v>
      </c>
      <c r="AB23" s="204">
        <f ca="1">IF(INDIRECT(ADDRESS(11,2,1,0,CE22),FALSE)=$B22,INDIRECT(ADDRESS(21,216,1,0,CE22),FALSE),INDIRECT(ADDRESS(21,209,1,0,CE22),FALSE))</f>
        <v>3</v>
      </c>
      <c r="AC23" s="170"/>
      <c r="AD23" s="169"/>
      <c r="AE23" s="204">
        <f ca="1">IF(INDIRECT(ADDRESS(11,2,1,0,CJ22),FALSE)=$B22,INDIRECT(ADDRESS(21,209,1,0,CJ22),FALSE),INDIRECT(ADDRESS(21,216,1,0,CJ22),FALSE))</f>
        <v>3</v>
      </c>
      <c r="AF23" s="204" t="str">
        <f ca="1">IF(OR(AE23=3,AG23=3),":","")</f>
        <v>:</v>
      </c>
      <c r="AG23" s="204">
        <f ca="1">IF(INDIRECT(ADDRESS(11,2,1,0,CJ22),FALSE)=$B22,INDIRECT(ADDRESS(21,216,1,0,CJ22),FALSE),INDIRECT(ADDRESS(21,209,1,0,CJ22),FALSE))</f>
        <v>0</v>
      </c>
      <c r="AH23" s="170"/>
      <c r="AI23" s="169"/>
      <c r="AJ23" s="204">
        <f ca="1">IF(INDIRECT(ADDRESS(11,2,1,0,CO22),FALSE)=$B22,INDIRECT(ADDRESS(21,209,1,0,CO22),FALSE),INDIRECT(ADDRESS(21,216,1,0,CO22),FALSE))</f>
        <v>2</v>
      </c>
      <c r="AK23" s="204" t="str">
        <f ca="1">IF(OR(AJ23=3,AL23=3),":","")</f>
        <v/>
      </c>
      <c r="AL23" s="204">
        <f ca="1">IF(INDIRECT(ADDRESS(11,2,1,0,CO22),FALSE)=$B22,INDIRECT(ADDRESS(21,216,1,0,CO22),FALSE),INDIRECT(ADDRESS(21,209,1,0,CO22),FALSE))</f>
        <v>2</v>
      </c>
      <c r="AM23" s="170"/>
      <c r="AN23" s="169"/>
      <c r="AO23" s="204" t="str">
        <f ca="1">IF(INDIRECT(ADDRESS(11,2,1,0,CT22),FALSE)=$B22,INDIRECT(ADDRESS(21,209,1,0,CT22),FALSE),INDIRECT(ADDRESS(21,216,1,0,CT22),FALSE))</f>
        <v/>
      </c>
      <c r="AP23" s="204" t="str">
        <f ca="1">IF(OR(AO23=3,AQ23=3),":","")</f>
        <v/>
      </c>
      <c r="AQ23" s="204" t="str">
        <f ca="1">IF(INDIRECT(ADDRESS(11,2,1,0,CT22),FALSE)=$B22,INDIRECT(ADDRESS(21,216,1,0,CT22),FALSE),INDIRECT(ADDRESS(21,209,1,0,CT22),FALSE))</f>
        <v/>
      </c>
      <c r="AR23" s="170"/>
      <c r="AS23" s="370"/>
      <c r="AT23" s="371"/>
      <c r="AU23" s="371"/>
      <c r="AV23" s="371"/>
      <c r="AW23" s="372"/>
      <c r="AX23" s="169"/>
      <c r="AY23" s="204">
        <f ca="1">IF(INDIRECT(ADDRESS(11,2,1,0,DD22),FALSE)=$B22,INDIRECT(ADDRESS(21,209,1,0,DD22),FALSE),INDIRECT(ADDRESS(21,216,1,0,DD22),FALSE))</f>
        <v>1</v>
      </c>
      <c r="AZ23" s="204" t="str">
        <f ca="1">IF(OR(AY23=3,BA23=3),":","")</f>
        <v>:</v>
      </c>
      <c r="BA23" s="204">
        <f ca="1">IF(INDIRECT(ADDRESS(11,2,1,0,DD22),FALSE)=$B22,INDIRECT(ADDRESS(21,216,1,0,DD22),FALSE),INDIRECT(ADDRESS(21,209,1,0,DD22),FALSE))</f>
        <v>3</v>
      </c>
      <c r="BB23" s="171"/>
      <c r="BC23" s="362"/>
      <c r="BD23" s="362"/>
      <c r="BE23" s="361"/>
      <c r="BF23" s="362"/>
      <c r="BG23" s="366"/>
      <c r="BH23" s="361"/>
      <c r="BJ23" s="359"/>
      <c r="BK23" s="359"/>
      <c r="BL23" s="206"/>
      <c r="BM23" s="206"/>
      <c r="BN23" s="206"/>
      <c r="BO23" s="206"/>
      <c r="BP23" s="359"/>
      <c r="BQ23" s="206"/>
      <c r="BR23" s="206"/>
      <c r="BS23" s="206"/>
      <c r="BT23" s="206"/>
      <c r="BU23" s="359"/>
      <c r="BV23" s="206"/>
      <c r="BW23" s="206"/>
      <c r="BX23" s="206"/>
      <c r="BY23" s="206"/>
      <c r="BZ23" s="359"/>
      <c r="CA23" s="206"/>
      <c r="CB23" s="206"/>
      <c r="CC23" s="206"/>
      <c r="CD23" s="206"/>
      <c r="CE23" s="359"/>
      <c r="CF23" s="206"/>
      <c r="CG23" s="206"/>
      <c r="CH23" s="206"/>
      <c r="CI23" s="206"/>
      <c r="CJ23" s="359"/>
      <c r="CK23" s="206"/>
      <c r="CL23" s="206"/>
      <c r="CM23" s="206"/>
      <c r="CN23" s="206"/>
      <c r="CO23" s="359"/>
      <c r="CP23" s="206"/>
      <c r="CQ23" s="206"/>
      <c r="CR23" s="206"/>
      <c r="CS23" s="206"/>
      <c r="CT23" s="359"/>
      <c r="CU23" s="206"/>
      <c r="CV23" s="206"/>
      <c r="CW23" s="206"/>
      <c r="CX23" s="206"/>
      <c r="CY23" s="360"/>
      <c r="CZ23" s="207"/>
      <c r="DA23" s="207"/>
      <c r="DB23" s="207"/>
      <c r="DC23" s="207"/>
      <c r="DD23" s="359"/>
      <c r="DF23" s="358"/>
      <c r="DG23" s="358"/>
    </row>
    <row r="24" spans="2:111" ht="21" customHeight="1" x14ac:dyDescent="0.3">
      <c r="B24" s="364">
        <v>10</v>
      </c>
      <c r="C24" s="365" t="str">
        <f>SUBSTITUTE(SUBSTITUTE(VLOOKUP(B24,Список!B:N,12,FALSE),")",""),"(","")</f>
        <v>«СШ №32» г.Симферополь</v>
      </c>
      <c r="D24" s="362"/>
      <c r="E24" s="172"/>
      <c r="F24" s="363">
        <f ca="1">IF(F25="","",IF(F25=3,2,IF(F25="wo",0,1)))</f>
        <v>1</v>
      </c>
      <c r="G24" s="363"/>
      <c r="H24" s="363"/>
      <c r="I24" s="184"/>
      <c r="J24" s="185"/>
      <c r="K24" s="363">
        <f ca="1">IF(K25="","",IF(K25=3,2,IF(K25="wo",0,1)))</f>
        <v>1</v>
      </c>
      <c r="L24" s="363"/>
      <c r="M24" s="363"/>
      <c r="N24" s="184"/>
      <c r="O24" s="185"/>
      <c r="P24" s="363">
        <f ca="1">IF(P25="","",IF(P25=3,2,IF(P25="wo",0,1)))</f>
        <v>1</v>
      </c>
      <c r="Q24" s="363"/>
      <c r="R24" s="363"/>
      <c r="S24" s="184"/>
      <c r="T24" s="185"/>
      <c r="U24" s="363">
        <f ca="1">IF(U25="","",IF(U25=3,2,IF(U25="wo",0,1)))</f>
        <v>2</v>
      </c>
      <c r="V24" s="363"/>
      <c r="W24" s="363"/>
      <c r="X24" s="184"/>
      <c r="Y24" s="185"/>
      <c r="Z24" s="363">
        <f ca="1">IF(Z25="","",IF(Z25=3,2,IF(Z25="wo",0,1)))</f>
        <v>2</v>
      </c>
      <c r="AA24" s="363"/>
      <c r="AB24" s="363"/>
      <c r="AC24" s="184"/>
      <c r="AD24" s="185"/>
      <c r="AE24" s="363">
        <f ca="1">IF(AE25="","",IF(AE25=3,2,IF(AE25="wo",0,1)))</f>
        <v>2</v>
      </c>
      <c r="AF24" s="363"/>
      <c r="AG24" s="363"/>
      <c r="AH24" s="184"/>
      <c r="AI24" s="185"/>
      <c r="AJ24" s="363">
        <f ca="1">IF(AJ25="","",IF(AJ25=3,2,IF(AJ25="wo",0,1)))</f>
        <v>2</v>
      </c>
      <c r="AK24" s="363"/>
      <c r="AL24" s="363"/>
      <c r="AM24" s="184"/>
      <c r="AN24" s="185"/>
      <c r="AO24" s="363">
        <f ca="1">IF(AO25="","",IF(AO25=3,2,IF(AO25="wo",0,1)))</f>
        <v>2</v>
      </c>
      <c r="AP24" s="363"/>
      <c r="AQ24" s="363"/>
      <c r="AR24" s="184"/>
      <c r="AS24" s="185"/>
      <c r="AT24" s="363">
        <f ca="1">IF(AT25="","",IF(AT25=3,2,IF(AT25="wo",0,1)))</f>
        <v>2</v>
      </c>
      <c r="AU24" s="363"/>
      <c r="AV24" s="363"/>
      <c r="AW24" s="173"/>
      <c r="AX24" s="367"/>
      <c r="AY24" s="368"/>
      <c r="AZ24" s="368"/>
      <c r="BA24" s="368"/>
      <c r="BB24" s="368"/>
      <c r="BC24" s="362">
        <f ca="1">SUM(E24:BB24)</f>
        <v>15</v>
      </c>
      <c r="BD24" s="362"/>
      <c r="BE24" s="361">
        <f ca="1">IF(DF24="",_xlfn.RANK.EQ(BC24,$BC$6:$BC$25),DF24)</f>
        <v>2</v>
      </c>
      <c r="BF24" s="362">
        <f ca="1">BC24+D24</f>
        <v>15</v>
      </c>
      <c r="BG24" s="362"/>
      <c r="BH24" s="361">
        <f ca="1">IF(DG24="",_xlfn.RANK.EQ(BF24,$BF$6:$BF$25),DG24)</f>
        <v>2</v>
      </c>
      <c r="BJ24" s="359">
        <v>10</v>
      </c>
      <c r="BK24" s="359">
        <v>38</v>
      </c>
      <c r="BL24" s="206"/>
      <c r="BM24" s="206"/>
      <c r="BN24" s="206"/>
      <c r="BO24" s="206"/>
      <c r="BP24" s="359">
        <v>17</v>
      </c>
      <c r="BQ24" s="206"/>
      <c r="BR24" s="206"/>
      <c r="BS24" s="206"/>
      <c r="BT24" s="206"/>
      <c r="BU24" s="359">
        <v>13</v>
      </c>
      <c r="BV24" s="206"/>
      <c r="BW24" s="206"/>
      <c r="BX24" s="206"/>
      <c r="BY24" s="206"/>
      <c r="BZ24" s="359">
        <v>9</v>
      </c>
      <c r="CA24" s="206"/>
      <c r="CB24" s="206"/>
      <c r="CC24" s="206"/>
      <c r="CD24" s="206"/>
      <c r="CE24" s="359">
        <v>5</v>
      </c>
      <c r="CF24" s="206"/>
      <c r="CG24" s="206"/>
      <c r="CH24" s="206"/>
      <c r="CI24" s="206"/>
      <c r="CJ24" s="359">
        <v>24</v>
      </c>
      <c r="CK24" s="206"/>
      <c r="CL24" s="206"/>
      <c r="CM24" s="206"/>
      <c r="CN24" s="206"/>
      <c r="CO24" s="359">
        <v>30</v>
      </c>
      <c r="CP24" s="206"/>
      <c r="CQ24" s="206"/>
      <c r="CR24" s="206"/>
      <c r="CS24" s="206"/>
      <c r="CT24" s="359">
        <v>35</v>
      </c>
      <c r="CU24" s="206"/>
      <c r="CV24" s="206"/>
      <c r="CW24" s="206"/>
      <c r="CX24" s="206"/>
      <c r="CY24" s="359">
        <v>45</v>
      </c>
      <c r="CZ24" s="206"/>
      <c r="DA24" s="206"/>
      <c r="DB24" s="206"/>
      <c r="DC24" s="206"/>
      <c r="DD24" s="360" t="e">
        <v>#N/A</v>
      </c>
      <c r="DF24" s="358"/>
      <c r="DG24" s="358"/>
    </row>
    <row r="25" spans="2:111" ht="21" customHeight="1" x14ac:dyDescent="0.25">
      <c r="B25" s="364"/>
      <c r="C25" s="365"/>
      <c r="D25" s="362"/>
      <c r="E25" s="204"/>
      <c r="F25" s="204">
        <f ca="1">IF(INDIRECT(ADDRESS(11,2,1,0,BK24),FALSE)=$B24,INDIRECT(ADDRESS(21,209,1,0,BK24),FALSE),INDIRECT(ADDRESS(21,216,1,0,BK24),FALSE))</f>
        <v>0</v>
      </c>
      <c r="G25" s="204" t="str">
        <f ca="1">IF(OR(F25=3,H25=3),":","")</f>
        <v>:</v>
      </c>
      <c r="H25" s="204">
        <f ca="1">IF(INDIRECT(ADDRESS(11,2,1,0,BK24),FALSE)=$B24,INDIRECT(ADDRESS(21,216,1,0,BK24),FALSE),INDIRECT(ADDRESS(21,209,1,0,BK24),FALSE))</f>
        <v>3</v>
      </c>
      <c r="I25" s="170"/>
      <c r="J25" s="169"/>
      <c r="K25" s="204">
        <f ca="1">IF(INDIRECT(ADDRESS(11,2,1,0,BP24),FALSE)=$B24,INDIRECT(ADDRESS(21,209,1,0,BP24),FALSE),INDIRECT(ADDRESS(21,216,1,0,BP24),FALSE))</f>
        <v>1</v>
      </c>
      <c r="L25" s="204" t="str">
        <f ca="1">IF(OR(K25=3,M25=3),":","")</f>
        <v>:</v>
      </c>
      <c r="M25" s="204">
        <f ca="1">IF(INDIRECT(ADDRESS(11,2,1,0,BP24),FALSE)=$B24,INDIRECT(ADDRESS(21,216,1,0,BP24),FALSE),INDIRECT(ADDRESS(21,209,1,0,BP24),FALSE))</f>
        <v>3</v>
      </c>
      <c r="N25" s="170"/>
      <c r="O25" s="169"/>
      <c r="P25" s="204">
        <f ca="1">IF(INDIRECT(ADDRESS(11,2,1,0,BU24),FALSE)=$B24,INDIRECT(ADDRESS(21,209,1,0,BU24),FALSE),INDIRECT(ADDRESS(21,216,1,0,BU24),FALSE))</f>
        <v>0</v>
      </c>
      <c r="Q25" s="204" t="str">
        <f ca="1">IF(OR(P25=3,R25=3),":","")</f>
        <v/>
      </c>
      <c r="R25" s="204">
        <f ca="1">IF(INDIRECT(ADDRESS(11,2,1,0,BU24),FALSE)=$B24,INDIRECT(ADDRESS(21,216,1,0,BU24),FALSE),INDIRECT(ADDRESS(21,209,1,0,BU24),FALSE))</f>
        <v>4</v>
      </c>
      <c r="S25" s="170"/>
      <c r="T25" s="169"/>
      <c r="U25" s="204">
        <f ca="1">IF(INDIRECT(ADDRESS(11,2,1,0,BZ24),FALSE)=$B24,INDIRECT(ADDRESS(21,209,1,0,BZ24),FALSE),INDIRECT(ADDRESS(21,216,1,0,BZ24),FALSE))</f>
        <v>3</v>
      </c>
      <c r="V25" s="204" t="str">
        <f ca="1">IF(OR(U25=3,W25=3),":","")</f>
        <v>:</v>
      </c>
      <c r="W25" s="204">
        <f ca="1">IF(INDIRECT(ADDRESS(11,2,1,0,BZ24),FALSE)=$B24,INDIRECT(ADDRESS(21,216,1,0,BZ24),FALSE),INDIRECT(ADDRESS(21,209,1,0,BZ24),FALSE))</f>
        <v>1</v>
      </c>
      <c r="X25" s="170"/>
      <c r="Y25" s="169"/>
      <c r="Z25" s="204">
        <f ca="1">IF(INDIRECT(ADDRESS(11,2,1,0,CE24),FALSE)=$B24,INDIRECT(ADDRESS(21,209,1,0,CE24),FALSE),INDIRECT(ADDRESS(21,216,1,0,CE24),FALSE))</f>
        <v>3</v>
      </c>
      <c r="AA25" s="204" t="str">
        <f ca="1">IF(OR(Z25=3,AB25=3),":","")</f>
        <v>:</v>
      </c>
      <c r="AB25" s="204">
        <f ca="1">IF(INDIRECT(ADDRESS(11,2,1,0,CE24),FALSE)=$B24,INDIRECT(ADDRESS(21,216,1,0,CE24),FALSE),INDIRECT(ADDRESS(21,209,1,0,CE24),FALSE))</f>
        <v>1</v>
      </c>
      <c r="AC25" s="170"/>
      <c r="AD25" s="169"/>
      <c r="AE25" s="204">
        <f ca="1">IF(INDIRECT(ADDRESS(11,2,1,0,CJ24),FALSE)=$B24,INDIRECT(ADDRESS(21,209,1,0,CJ24),FALSE),INDIRECT(ADDRESS(21,216,1,0,CJ24),FALSE))</f>
        <v>3</v>
      </c>
      <c r="AF25" s="204" t="str">
        <f ca="1">IF(OR(AE25=3,AG25=3),":","")</f>
        <v>:</v>
      </c>
      <c r="AG25" s="204">
        <f ca="1">IF(INDIRECT(ADDRESS(11,2,1,0,CJ24),FALSE)=$B24,INDIRECT(ADDRESS(21,216,1,0,CJ24),FALSE),INDIRECT(ADDRESS(21,209,1,0,CJ24),FALSE))</f>
        <v>1</v>
      </c>
      <c r="AH25" s="170"/>
      <c r="AI25" s="169"/>
      <c r="AJ25" s="204">
        <f ca="1">IF(INDIRECT(ADDRESS(11,2,1,0,CO24),FALSE)=$B24,INDIRECT(ADDRESS(21,209,1,0,CO24),FALSE),INDIRECT(ADDRESS(21,216,1,0,CO24),FALSE))</f>
        <v>3</v>
      </c>
      <c r="AK25" s="204" t="str">
        <f ca="1">IF(OR(AJ25=3,AL25=3),":","")</f>
        <v>:</v>
      </c>
      <c r="AL25" s="204">
        <f ca="1">IF(INDIRECT(ADDRESS(11,2,1,0,CO24),FALSE)=$B24,INDIRECT(ADDRESS(21,216,1,0,CO24),FALSE),INDIRECT(ADDRESS(21,209,1,0,CO24),FALSE))</f>
        <v>1</v>
      </c>
      <c r="AM25" s="170"/>
      <c r="AN25" s="169"/>
      <c r="AO25" s="204">
        <f ca="1">IF(INDIRECT(ADDRESS(11,2,1,0,CT24),FALSE)=$B24,INDIRECT(ADDRESS(21,209,1,0,CT24),FALSE),INDIRECT(ADDRESS(21,216,1,0,CT24),FALSE))</f>
        <v>3</v>
      </c>
      <c r="AP25" s="204" t="str">
        <f ca="1">IF(OR(AO25=3,AQ25=3),":","")</f>
        <v>:</v>
      </c>
      <c r="AQ25" s="204">
        <f ca="1">IF(INDIRECT(ADDRESS(11,2,1,0,CT24),FALSE)=$B24,INDIRECT(ADDRESS(21,216,1,0,CT24),FALSE),INDIRECT(ADDRESS(21,209,1,0,CT24),FALSE))</f>
        <v>1</v>
      </c>
      <c r="AR25" s="170"/>
      <c r="AS25" s="169"/>
      <c r="AT25" s="204">
        <f ca="1">IF(INDIRECT(ADDRESS(11,2,1,0,CY24),FALSE)=$B24,INDIRECT(ADDRESS(21,209,1,0,CY24),FALSE),INDIRECT(ADDRESS(21,216,1,0,CY24),FALSE))</f>
        <v>3</v>
      </c>
      <c r="AU25" s="204" t="str">
        <f ca="1">IF(OR(AT25=3,AV25=3),":","")</f>
        <v>:</v>
      </c>
      <c r="AV25" s="204">
        <f ca="1">IF(INDIRECT(ADDRESS(11,2,1,0,CY24),FALSE)=$B24,INDIRECT(ADDRESS(21,216,1,0,CY24),FALSE),INDIRECT(ADDRESS(21,209,1,0,CY24),FALSE))</f>
        <v>1</v>
      </c>
      <c r="AW25" s="170"/>
      <c r="AX25" s="370"/>
      <c r="AY25" s="371"/>
      <c r="AZ25" s="371"/>
      <c r="BA25" s="371"/>
      <c r="BB25" s="371"/>
      <c r="BC25" s="362"/>
      <c r="BD25" s="362"/>
      <c r="BE25" s="361"/>
      <c r="BF25" s="362"/>
      <c r="BG25" s="362"/>
      <c r="BH25" s="361"/>
      <c r="BJ25" s="359"/>
      <c r="BK25" s="359"/>
      <c r="BL25" s="206"/>
      <c r="BM25" s="206"/>
      <c r="BN25" s="206"/>
      <c r="BO25" s="206"/>
      <c r="BP25" s="359"/>
      <c r="BQ25" s="206"/>
      <c r="BR25" s="206"/>
      <c r="BS25" s="206"/>
      <c r="BT25" s="206"/>
      <c r="BU25" s="359"/>
      <c r="BV25" s="206"/>
      <c r="BW25" s="206"/>
      <c r="BX25" s="206"/>
      <c r="BY25" s="206"/>
      <c r="BZ25" s="359"/>
      <c r="CA25" s="206"/>
      <c r="CB25" s="206"/>
      <c r="CC25" s="206"/>
      <c r="CD25" s="206"/>
      <c r="CE25" s="359"/>
      <c r="CF25" s="206"/>
      <c r="CG25" s="206"/>
      <c r="CH25" s="206"/>
      <c r="CI25" s="206"/>
      <c r="CJ25" s="359"/>
      <c r="CK25" s="206"/>
      <c r="CL25" s="206"/>
      <c r="CM25" s="206"/>
      <c r="CN25" s="206"/>
      <c r="CO25" s="359"/>
      <c r="CP25" s="206"/>
      <c r="CQ25" s="206"/>
      <c r="CR25" s="206"/>
      <c r="CS25" s="206"/>
      <c r="CT25" s="359"/>
      <c r="CU25" s="206"/>
      <c r="CV25" s="206"/>
      <c r="CW25" s="206"/>
      <c r="CX25" s="206"/>
      <c r="CY25" s="359"/>
      <c r="CZ25" s="206"/>
      <c r="DA25" s="206"/>
      <c r="DB25" s="206"/>
      <c r="DC25" s="206"/>
      <c r="DD25" s="360"/>
      <c r="DF25" s="358"/>
      <c r="DG25" s="358"/>
    </row>
    <row r="26" spans="2:111" x14ac:dyDescent="0.25">
      <c r="B26" s="1" t="s">
        <v>128</v>
      </c>
    </row>
    <row r="28" spans="2:111" ht="20.25" x14ac:dyDescent="0.3">
      <c r="B28" s="188" t="s">
        <v>97</v>
      </c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O28" s="188"/>
    </row>
    <row r="29" spans="2:111" ht="20.25" x14ac:dyDescent="0.3">
      <c r="B29" s="189"/>
      <c r="AO29" s="189"/>
    </row>
    <row r="30" spans="2:111" ht="20.25" x14ac:dyDescent="0.3">
      <c r="B30" s="188" t="s">
        <v>98</v>
      </c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O30" s="188"/>
    </row>
  </sheetData>
  <mergeCells count="332">
    <mergeCell ref="B2:BH2"/>
    <mergeCell ref="B3:BH3"/>
    <mergeCell ref="E5:I5"/>
    <mergeCell ref="J5:N5"/>
    <mergeCell ref="O5:S5"/>
    <mergeCell ref="T5:X5"/>
    <mergeCell ref="Y5:AC5"/>
    <mergeCell ref="AD5:AH5"/>
    <mergeCell ref="AI5:AM5"/>
    <mergeCell ref="AN5:AR5"/>
    <mergeCell ref="AS5:AW5"/>
    <mergeCell ref="AX5:BB5"/>
    <mergeCell ref="B6:B7"/>
    <mergeCell ref="C6:C7"/>
    <mergeCell ref="D6:D7"/>
    <mergeCell ref="E6:I7"/>
    <mergeCell ref="K6:M6"/>
    <mergeCell ref="P6:R6"/>
    <mergeCell ref="U6:W6"/>
    <mergeCell ref="Z6:AB6"/>
    <mergeCell ref="DD6:DD7"/>
    <mergeCell ref="AJ6:AL6"/>
    <mergeCell ref="AO6:AQ6"/>
    <mergeCell ref="AT6:AV6"/>
    <mergeCell ref="AY6:BA6"/>
    <mergeCell ref="BC6:BC7"/>
    <mergeCell ref="DF6:DF7"/>
    <mergeCell ref="DG6:DG7"/>
    <mergeCell ref="BK6:BK7"/>
    <mergeCell ref="BP6:BP7"/>
    <mergeCell ref="BU6:BU7"/>
    <mergeCell ref="BZ6:BZ7"/>
    <mergeCell ref="CE6:CE7"/>
    <mergeCell ref="CJ6:CJ7"/>
    <mergeCell ref="B8:B9"/>
    <mergeCell ref="C8:C9"/>
    <mergeCell ref="D8:D9"/>
    <mergeCell ref="F8:H8"/>
    <mergeCell ref="J8:N9"/>
    <mergeCell ref="P8:R8"/>
    <mergeCell ref="CO6:CO7"/>
    <mergeCell ref="CT6:CT7"/>
    <mergeCell ref="CY6:CY7"/>
    <mergeCell ref="BD6:BD7"/>
    <mergeCell ref="BE6:BE7"/>
    <mergeCell ref="BF6:BF7"/>
    <mergeCell ref="BG6:BG7"/>
    <mergeCell ref="BH6:BH7"/>
    <mergeCell ref="BJ6:BJ7"/>
    <mergeCell ref="AE6:AG6"/>
    <mergeCell ref="BD8:BD9"/>
    <mergeCell ref="BE8:BE9"/>
    <mergeCell ref="BF8:BF9"/>
    <mergeCell ref="BG8:BG9"/>
    <mergeCell ref="U8:W8"/>
    <mergeCell ref="Z8:AB8"/>
    <mergeCell ref="AE8:AG8"/>
    <mergeCell ref="AJ8:AL8"/>
    <mergeCell ref="AO8:AQ8"/>
    <mergeCell ref="AT8:AV8"/>
    <mergeCell ref="DF8:DF9"/>
    <mergeCell ref="DG8:DG9"/>
    <mergeCell ref="B10:B11"/>
    <mergeCell ref="C10:C11"/>
    <mergeCell ref="D10:D11"/>
    <mergeCell ref="F10:H10"/>
    <mergeCell ref="K10:M10"/>
    <mergeCell ref="O10:S11"/>
    <mergeCell ref="U10:W10"/>
    <mergeCell ref="Z10:AB10"/>
    <mergeCell ref="CE8:CE9"/>
    <mergeCell ref="CJ8:CJ9"/>
    <mergeCell ref="CO8:CO9"/>
    <mergeCell ref="CT8:CT9"/>
    <mergeCell ref="CY8:CY9"/>
    <mergeCell ref="DD8:DD9"/>
    <mergeCell ref="BH8:BH9"/>
    <mergeCell ref="BJ8:BJ9"/>
    <mergeCell ref="BK8:BK9"/>
    <mergeCell ref="BP8:BP9"/>
    <mergeCell ref="BU8:BU9"/>
    <mergeCell ref="BZ8:BZ9"/>
    <mergeCell ref="AY8:BA8"/>
    <mergeCell ref="BC8:BC9"/>
    <mergeCell ref="AE10:AG10"/>
    <mergeCell ref="AJ10:AL10"/>
    <mergeCell ref="AO10:AQ10"/>
    <mergeCell ref="AT10:AV10"/>
    <mergeCell ref="AY10:BA10"/>
    <mergeCell ref="BC10:BC11"/>
    <mergeCell ref="BD12:BD13"/>
    <mergeCell ref="BE12:BE13"/>
    <mergeCell ref="BF12:BF13"/>
    <mergeCell ref="BD10:BD11"/>
    <mergeCell ref="BE10:BE11"/>
    <mergeCell ref="BF10:BF11"/>
    <mergeCell ref="BG10:BG11"/>
    <mergeCell ref="BH10:BH11"/>
    <mergeCell ref="BJ10:BJ11"/>
    <mergeCell ref="DF12:DF13"/>
    <mergeCell ref="DG12:DG13"/>
    <mergeCell ref="CJ12:CJ13"/>
    <mergeCell ref="CO12:CO13"/>
    <mergeCell ref="CT12:CT13"/>
    <mergeCell ref="CY12:CY13"/>
    <mergeCell ref="DD12:DD13"/>
    <mergeCell ref="DD10:DD11"/>
    <mergeCell ref="DF10:DF11"/>
    <mergeCell ref="DG10:DG11"/>
    <mergeCell ref="BK10:BK11"/>
    <mergeCell ref="BP10:BP11"/>
    <mergeCell ref="BU10:BU11"/>
    <mergeCell ref="BZ10:BZ11"/>
    <mergeCell ref="CE10:CE11"/>
    <mergeCell ref="CJ10:CJ11"/>
    <mergeCell ref="CO10:CO11"/>
    <mergeCell ref="CT10:CT11"/>
    <mergeCell ref="CY10:CY11"/>
    <mergeCell ref="BC14:BC15"/>
    <mergeCell ref="B12:B13"/>
    <mergeCell ref="C12:C13"/>
    <mergeCell ref="D12:D13"/>
    <mergeCell ref="F12:H12"/>
    <mergeCell ref="K12:M12"/>
    <mergeCell ref="P12:R12"/>
    <mergeCell ref="B14:B15"/>
    <mergeCell ref="C14:C15"/>
    <mergeCell ref="D14:D15"/>
    <mergeCell ref="F14:H14"/>
    <mergeCell ref="K14:M14"/>
    <mergeCell ref="P14:R14"/>
    <mergeCell ref="CY14:CY15"/>
    <mergeCell ref="U14:W14"/>
    <mergeCell ref="Y14:AC15"/>
    <mergeCell ref="CE12:CE13"/>
    <mergeCell ref="BH12:BH13"/>
    <mergeCell ref="BJ12:BJ13"/>
    <mergeCell ref="BK12:BK13"/>
    <mergeCell ref="BP12:BP13"/>
    <mergeCell ref="BU12:BU13"/>
    <mergeCell ref="BZ12:BZ13"/>
    <mergeCell ref="AY12:BA12"/>
    <mergeCell ref="BC12:BC13"/>
    <mergeCell ref="BG12:BG13"/>
    <mergeCell ref="T12:X13"/>
    <mergeCell ref="Z12:AB12"/>
    <mergeCell ref="AE12:AG12"/>
    <mergeCell ref="AJ12:AL12"/>
    <mergeCell ref="AO12:AQ12"/>
    <mergeCell ref="AT12:AV12"/>
    <mergeCell ref="AE14:AG14"/>
    <mergeCell ref="AJ14:AL14"/>
    <mergeCell ref="AO14:AQ14"/>
    <mergeCell ref="AT14:AV14"/>
    <mergeCell ref="AY14:BA14"/>
    <mergeCell ref="BD14:BD15"/>
    <mergeCell ref="BE14:BE15"/>
    <mergeCell ref="BF14:BF15"/>
    <mergeCell ref="BG14:BG15"/>
    <mergeCell ref="BH14:BH15"/>
    <mergeCell ref="BJ14:BJ15"/>
    <mergeCell ref="DF16:DF17"/>
    <mergeCell ref="DG16:DG17"/>
    <mergeCell ref="CJ16:CJ17"/>
    <mergeCell ref="CO16:CO17"/>
    <mergeCell ref="CT16:CT17"/>
    <mergeCell ref="CY16:CY17"/>
    <mergeCell ref="DD16:DD17"/>
    <mergeCell ref="DD14:DD15"/>
    <mergeCell ref="DF14:DF15"/>
    <mergeCell ref="DG14:DG15"/>
    <mergeCell ref="BK14:BK15"/>
    <mergeCell ref="BP14:BP15"/>
    <mergeCell ref="BU14:BU15"/>
    <mergeCell ref="BZ14:BZ15"/>
    <mergeCell ref="CE14:CE15"/>
    <mergeCell ref="CJ14:CJ15"/>
    <mergeCell ref="CO14:CO15"/>
    <mergeCell ref="CT14:CT15"/>
    <mergeCell ref="B16:B17"/>
    <mergeCell ref="C16:C17"/>
    <mergeCell ref="D16:D17"/>
    <mergeCell ref="F16:H16"/>
    <mergeCell ref="K16:M16"/>
    <mergeCell ref="P16:R16"/>
    <mergeCell ref="BD16:BD17"/>
    <mergeCell ref="BE16:BE17"/>
    <mergeCell ref="BF16:BF17"/>
    <mergeCell ref="B18:B19"/>
    <mergeCell ref="C18:C19"/>
    <mergeCell ref="D18:D19"/>
    <mergeCell ref="F18:H18"/>
    <mergeCell ref="K18:M18"/>
    <mergeCell ref="P18:R18"/>
    <mergeCell ref="U18:W18"/>
    <mergeCell ref="Z18:AB18"/>
    <mergeCell ref="CE16:CE17"/>
    <mergeCell ref="BH16:BH17"/>
    <mergeCell ref="BJ16:BJ17"/>
    <mergeCell ref="BK16:BK17"/>
    <mergeCell ref="BP16:BP17"/>
    <mergeCell ref="BU16:BU17"/>
    <mergeCell ref="BZ16:BZ17"/>
    <mergeCell ref="AY16:BA16"/>
    <mergeCell ref="BC16:BC17"/>
    <mergeCell ref="BG16:BG17"/>
    <mergeCell ref="U16:W16"/>
    <mergeCell ref="Z16:AB16"/>
    <mergeCell ref="AD16:AH17"/>
    <mergeCell ref="AJ16:AL16"/>
    <mergeCell ref="AO16:AQ16"/>
    <mergeCell ref="AT16:AV16"/>
    <mergeCell ref="AE18:AG18"/>
    <mergeCell ref="AI18:AM19"/>
    <mergeCell ref="AO18:AQ18"/>
    <mergeCell ref="AT18:AV18"/>
    <mergeCell ref="AY18:BA18"/>
    <mergeCell ref="BC18:BC19"/>
    <mergeCell ref="BD20:BD21"/>
    <mergeCell ref="BE20:BE21"/>
    <mergeCell ref="BF20:BF21"/>
    <mergeCell ref="BD18:BD19"/>
    <mergeCell ref="BE18:BE19"/>
    <mergeCell ref="BF18:BF19"/>
    <mergeCell ref="BG18:BG19"/>
    <mergeCell ref="BH18:BH19"/>
    <mergeCell ref="BJ18:BJ19"/>
    <mergeCell ref="DF20:DF21"/>
    <mergeCell ref="DG20:DG21"/>
    <mergeCell ref="CJ20:CJ21"/>
    <mergeCell ref="CO20:CO21"/>
    <mergeCell ref="CT20:CT21"/>
    <mergeCell ref="CY20:CY21"/>
    <mergeCell ref="DD20:DD21"/>
    <mergeCell ref="DD18:DD19"/>
    <mergeCell ref="DF18:DF19"/>
    <mergeCell ref="DG18:DG19"/>
    <mergeCell ref="BK18:BK19"/>
    <mergeCell ref="BP18:BP19"/>
    <mergeCell ref="BU18:BU19"/>
    <mergeCell ref="BZ18:BZ19"/>
    <mergeCell ref="CE18:CE19"/>
    <mergeCell ref="CJ18:CJ19"/>
    <mergeCell ref="CO18:CO19"/>
    <mergeCell ref="CT18:CT19"/>
    <mergeCell ref="CY18:CY19"/>
    <mergeCell ref="B20:B21"/>
    <mergeCell ref="C20:C21"/>
    <mergeCell ref="D20:D21"/>
    <mergeCell ref="F20:H20"/>
    <mergeCell ref="K20:M20"/>
    <mergeCell ref="P20:R20"/>
    <mergeCell ref="B22:B23"/>
    <mergeCell ref="C22:C23"/>
    <mergeCell ref="D22:D23"/>
    <mergeCell ref="F22:H22"/>
    <mergeCell ref="K22:M22"/>
    <mergeCell ref="P22:R22"/>
    <mergeCell ref="U22:W22"/>
    <mergeCell ref="Z22:AB22"/>
    <mergeCell ref="CE20:CE21"/>
    <mergeCell ref="BH20:BH21"/>
    <mergeCell ref="BJ20:BJ21"/>
    <mergeCell ref="BK20:BK21"/>
    <mergeCell ref="BP20:BP21"/>
    <mergeCell ref="BU20:BU21"/>
    <mergeCell ref="BZ20:BZ21"/>
    <mergeCell ref="AY20:BA20"/>
    <mergeCell ref="BC20:BC21"/>
    <mergeCell ref="BG20:BG21"/>
    <mergeCell ref="U20:W20"/>
    <mergeCell ref="Z20:AB20"/>
    <mergeCell ref="AE20:AG20"/>
    <mergeCell ref="AJ20:AL20"/>
    <mergeCell ref="AN20:AR21"/>
    <mergeCell ref="AT20:AV20"/>
    <mergeCell ref="DD22:DD23"/>
    <mergeCell ref="DF22:DF23"/>
    <mergeCell ref="DG22:DG23"/>
    <mergeCell ref="BK22:BK23"/>
    <mergeCell ref="BP22:BP23"/>
    <mergeCell ref="BU22:BU23"/>
    <mergeCell ref="BZ22:BZ23"/>
    <mergeCell ref="CE22:CE23"/>
    <mergeCell ref="CJ22:CJ23"/>
    <mergeCell ref="B24:B25"/>
    <mergeCell ref="C24:C25"/>
    <mergeCell ref="D24:D25"/>
    <mergeCell ref="F24:H24"/>
    <mergeCell ref="K24:M24"/>
    <mergeCell ref="P24:R24"/>
    <mergeCell ref="CO22:CO23"/>
    <mergeCell ref="CT22:CT23"/>
    <mergeCell ref="CY22:CY23"/>
    <mergeCell ref="BD22:BD23"/>
    <mergeCell ref="BE22:BE23"/>
    <mergeCell ref="BF22:BF23"/>
    <mergeCell ref="BG22:BG23"/>
    <mergeCell ref="BH22:BH23"/>
    <mergeCell ref="BJ22:BJ23"/>
    <mergeCell ref="AE22:AG22"/>
    <mergeCell ref="AJ22:AL22"/>
    <mergeCell ref="AO22:AQ22"/>
    <mergeCell ref="AS22:AW23"/>
    <mergeCell ref="AY22:BA22"/>
    <mergeCell ref="BC22:BC23"/>
    <mergeCell ref="AX24:BB25"/>
    <mergeCell ref="BC24:BC25"/>
    <mergeCell ref="BD24:BD25"/>
    <mergeCell ref="BE24:BE25"/>
    <mergeCell ref="BF24:BF25"/>
    <mergeCell ref="BG24:BG25"/>
    <mergeCell ref="U24:W24"/>
    <mergeCell ref="Z24:AB24"/>
    <mergeCell ref="AE24:AG24"/>
    <mergeCell ref="AJ24:AL24"/>
    <mergeCell ref="AO24:AQ24"/>
    <mergeCell ref="AT24:AV24"/>
    <mergeCell ref="DF24:DF25"/>
    <mergeCell ref="DG24:DG25"/>
    <mergeCell ref="CE24:CE25"/>
    <mergeCell ref="CJ24:CJ25"/>
    <mergeCell ref="CO24:CO25"/>
    <mergeCell ref="CT24:CT25"/>
    <mergeCell ref="CY24:CY25"/>
    <mergeCell ref="DD24:DD25"/>
    <mergeCell ref="BH24:BH25"/>
    <mergeCell ref="BJ24:BJ25"/>
    <mergeCell ref="BK24:BK25"/>
    <mergeCell ref="BP24:BP25"/>
    <mergeCell ref="BU24:BU25"/>
    <mergeCell ref="BZ24:BZ25"/>
  </mergeCells>
  <conditionalFormatting sqref="E6">
    <cfRule type="expression" dxfId="85" priority="86">
      <formula>E6=2</formula>
    </cfRule>
  </conditionalFormatting>
  <conditionalFormatting sqref="AD16">
    <cfRule type="expression" dxfId="84" priority="81">
      <formula>AD16=2</formula>
    </cfRule>
  </conditionalFormatting>
  <conditionalFormatting sqref="J8">
    <cfRule type="expression" dxfId="83" priority="85">
      <formula>J8=2</formula>
    </cfRule>
  </conditionalFormatting>
  <conditionalFormatting sqref="O10">
    <cfRule type="expression" dxfId="82" priority="84">
      <formula>O10=2</formula>
    </cfRule>
  </conditionalFormatting>
  <conditionalFormatting sqref="T12">
    <cfRule type="expression" dxfId="81" priority="83">
      <formula>T12=2</formula>
    </cfRule>
  </conditionalFormatting>
  <conditionalFormatting sqref="Y14">
    <cfRule type="expression" dxfId="80" priority="82">
      <formula>Y14=2</formula>
    </cfRule>
  </conditionalFormatting>
  <conditionalFormatting sqref="AI18">
    <cfRule type="expression" dxfId="79" priority="80">
      <formula>AI18=2</formula>
    </cfRule>
  </conditionalFormatting>
  <conditionalFormatting sqref="AN20">
    <cfRule type="expression" dxfId="78" priority="79">
      <formula>AN20=2</formula>
    </cfRule>
  </conditionalFormatting>
  <conditionalFormatting sqref="AS22">
    <cfRule type="expression" dxfId="77" priority="78">
      <formula>AS22=2</formula>
    </cfRule>
  </conditionalFormatting>
  <conditionalFormatting sqref="AX24">
    <cfRule type="expression" dxfId="76" priority="77">
      <formula>AX24=2</formula>
    </cfRule>
  </conditionalFormatting>
  <conditionalFormatting sqref="AT24">
    <cfRule type="expression" dxfId="75" priority="4">
      <formula>AT24=2</formula>
    </cfRule>
  </conditionalFormatting>
  <conditionalFormatting sqref="AT25">
    <cfRule type="expression" dxfId="74" priority="3">
      <formula>AT24=2</formula>
    </cfRule>
  </conditionalFormatting>
  <conditionalFormatting sqref="AU25">
    <cfRule type="expression" dxfId="73" priority="2">
      <formula>AT24=2</formula>
    </cfRule>
  </conditionalFormatting>
  <conditionalFormatting sqref="AV25">
    <cfRule type="expression" dxfId="72" priority="1">
      <formula>AT24=2</formula>
    </cfRule>
  </conditionalFormatting>
  <conditionalFormatting sqref="AY6">
    <cfRule type="expression" dxfId="71" priority="76">
      <formula>AY6=2</formula>
    </cfRule>
  </conditionalFormatting>
  <conditionalFormatting sqref="AY7">
    <cfRule type="expression" dxfId="70" priority="75">
      <formula>AY6=2</formula>
    </cfRule>
  </conditionalFormatting>
  <conditionalFormatting sqref="AZ7">
    <cfRule type="expression" dxfId="69" priority="74">
      <formula>AY6=2</formula>
    </cfRule>
  </conditionalFormatting>
  <conditionalFormatting sqref="BA7">
    <cfRule type="expression" dxfId="68" priority="73">
      <formula>AY6=2</formula>
    </cfRule>
  </conditionalFormatting>
  <conditionalFormatting sqref="AY8 AY10 AY12 AY14 AY16 AY18 AY20 AY22">
    <cfRule type="expression" dxfId="67" priority="72">
      <formula>AY8=2</formula>
    </cfRule>
  </conditionalFormatting>
  <conditionalFormatting sqref="AY9 AY11 AY13 AY15 AY17 AY19 AY21 AY23">
    <cfRule type="expression" dxfId="66" priority="71">
      <formula>AY8=2</formula>
    </cfRule>
  </conditionalFormatting>
  <conditionalFormatting sqref="AZ9 AZ11 AZ13 AZ15 AZ17 AZ19 AZ21 AZ23">
    <cfRule type="expression" dxfId="65" priority="70">
      <formula>AY8=2</formula>
    </cfRule>
  </conditionalFormatting>
  <conditionalFormatting sqref="BA9 BA11 BA13 BA15 BA17 BA19 BA21 BA23">
    <cfRule type="expression" dxfId="64" priority="69">
      <formula>AY8=2</formula>
    </cfRule>
  </conditionalFormatting>
  <conditionalFormatting sqref="AT6 AT8 AT10 AT12 AT14 AT16 AT18 AT20">
    <cfRule type="expression" dxfId="63" priority="68">
      <formula>AT6=2</formula>
    </cfRule>
  </conditionalFormatting>
  <conditionalFormatting sqref="AT7 AT9 AT11 AT13 AT15 AT17 AT19 AT21">
    <cfRule type="expression" dxfId="62" priority="67">
      <formula>AT6=2</formula>
    </cfRule>
  </conditionalFormatting>
  <conditionalFormatting sqref="AU7 AU9 AU11 AU13 AU15 AU17 AU19 AU21">
    <cfRule type="expression" dxfId="61" priority="66">
      <formula>AT6=2</formula>
    </cfRule>
  </conditionalFormatting>
  <conditionalFormatting sqref="AV7 AV9 AV11 AV13 AV15 AV17 AV19 AV21">
    <cfRule type="expression" dxfId="60" priority="65">
      <formula>AT6=2</formula>
    </cfRule>
  </conditionalFormatting>
  <conditionalFormatting sqref="AO6 AO8 AO10 AO12 AO14 AO16 AO18">
    <cfRule type="expression" dxfId="59" priority="64">
      <formula>AO6=2</formula>
    </cfRule>
  </conditionalFormatting>
  <conditionalFormatting sqref="AO7 AO9 AO11 AO13 AO15 AO17 AO19">
    <cfRule type="expression" dxfId="58" priority="63">
      <formula>AO6=2</formula>
    </cfRule>
  </conditionalFormatting>
  <conditionalFormatting sqref="AP7 AP9 AP11 AP13 AP15 AP17 AP19">
    <cfRule type="expression" dxfId="57" priority="62">
      <formula>AO6=2</formula>
    </cfRule>
  </conditionalFormatting>
  <conditionalFormatting sqref="AQ7 AQ9 AQ11 AQ13 AQ15 AQ17 AQ19">
    <cfRule type="expression" dxfId="56" priority="61">
      <formula>AO6=2</formula>
    </cfRule>
  </conditionalFormatting>
  <conditionalFormatting sqref="AJ6 AJ8 AJ10 AJ12 AJ14 AJ16">
    <cfRule type="expression" dxfId="55" priority="60">
      <formula>AJ6=2</formula>
    </cfRule>
  </conditionalFormatting>
  <conditionalFormatting sqref="AJ7 AJ9 AJ11 AJ13 AJ15 AJ17">
    <cfRule type="expression" dxfId="54" priority="59">
      <formula>AJ6=2</formula>
    </cfRule>
  </conditionalFormatting>
  <conditionalFormatting sqref="AK7 AK9 AK11 AK13 AK15 AK17">
    <cfRule type="expression" dxfId="53" priority="58">
      <formula>AJ6=2</formula>
    </cfRule>
  </conditionalFormatting>
  <conditionalFormatting sqref="AL7 AL9 AL11 AL13 AL15 AL17">
    <cfRule type="expression" dxfId="52" priority="57">
      <formula>AJ6=2</formula>
    </cfRule>
  </conditionalFormatting>
  <conditionalFormatting sqref="AE6 AE8 AE10 AE12 AE14">
    <cfRule type="expression" dxfId="51" priority="56">
      <formula>AE6=2</formula>
    </cfRule>
  </conditionalFormatting>
  <conditionalFormatting sqref="AE7 AE9 AE11 AE13 AE15">
    <cfRule type="expression" dxfId="50" priority="55">
      <formula>AE6=2</formula>
    </cfRule>
  </conditionalFormatting>
  <conditionalFormatting sqref="AF7 AF9 AF11 AF13 AF15">
    <cfRule type="expression" dxfId="49" priority="54">
      <formula>AE6=2</formula>
    </cfRule>
  </conditionalFormatting>
  <conditionalFormatting sqref="AG7 AG9 AG11 AG13 AG15">
    <cfRule type="expression" dxfId="48" priority="53">
      <formula>AE6=2</formula>
    </cfRule>
  </conditionalFormatting>
  <conditionalFormatting sqref="Z6 Z8 Z10 Z12">
    <cfRule type="expression" dxfId="47" priority="52">
      <formula>Z6=2</formula>
    </cfRule>
  </conditionalFormatting>
  <conditionalFormatting sqref="Z7 Z9 Z11 Z13">
    <cfRule type="expression" dxfId="46" priority="51">
      <formula>Z6=2</formula>
    </cfRule>
  </conditionalFormatting>
  <conditionalFormatting sqref="AA7 AA9 AA11 AA13">
    <cfRule type="expression" dxfId="45" priority="50">
      <formula>Z6=2</formula>
    </cfRule>
  </conditionalFormatting>
  <conditionalFormatting sqref="AB7 AB9 AB11 AB13">
    <cfRule type="expression" dxfId="44" priority="49">
      <formula>Z6=2</formula>
    </cfRule>
  </conditionalFormatting>
  <conditionalFormatting sqref="U6 U8 U10">
    <cfRule type="expression" dxfId="43" priority="48">
      <formula>U6=2</formula>
    </cfRule>
  </conditionalFormatting>
  <conditionalFormatting sqref="U7 U9 U11">
    <cfRule type="expression" dxfId="42" priority="47">
      <formula>U6=2</formula>
    </cfRule>
  </conditionalFormatting>
  <conditionalFormatting sqref="V7 V9 V11">
    <cfRule type="expression" dxfId="41" priority="46">
      <formula>U6=2</formula>
    </cfRule>
  </conditionalFormatting>
  <conditionalFormatting sqref="W7 W9 W11">
    <cfRule type="expression" dxfId="40" priority="45">
      <formula>U6=2</formula>
    </cfRule>
  </conditionalFormatting>
  <conditionalFormatting sqref="P6 P8">
    <cfRule type="expression" dxfId="39" priority="44">
      <formula>P6=2</formula>
    </cfRule>
  </conditionalFormatting>
  <conditionalFormatting sqref="P7 P9">
    <cfRule type="expression" dxfId="38" priority="43">
      <formula>P6=2</formula>
    </cfRule>
  </conditionalFormatting>
  <conditionalFormatting sqref="Q7 Q9">
    <cfRule type="expression" dxfId="37" priority="42">
      <formula>P6=2</formula>
    </cfRule>
  </conditionalFormatting>
  <conditionalFormatting sqref="R7 R9">
    <cfRule type="expression" dxfId="36" priority="41">
      <formula>P6=2</formula>
    </cfRule>
  </conditionalFormatting>
  <conditionalFormatting sqref="K6">
    <cfRule type="expression" dxfId="35" priority="40">
      <formula>K6=2</formula>
    </cfRule>
  </conditionalFormatting>
  <conditionalFormatting sqref="K7">
    <cfRule type="expression" dxfId="34" priority="39">
      <formula>K6=2</formula>
    </cfRule>
  </conditionalFormatting>
  <conditionalFormatting sqref="L7">
    <cfRule type="expression" dxfId="33" priority="38">
      <formula>K6=2</formula>
    </cfRule>
  </conditionalFormatting>
  <conditionalFormatting sqref="M7">
    <cfRule type="expression" dxfId="32" priority="37">
      <formula>K6=2</formula>
    </cfRule>
  </conditionalFormatting>
  <conditionalFormatting sqref="F8 F10 F12 F14 F16 F18 F20 F22 F24">
    <cfRule type="expression" dxfId="31" priority="36">
      <formula>F8=2</formula>
    </cfRule>
  </conditionalFormatting>
  <conditionalFormatting sqref="F9 F11 F13 F15 F17 F19 F21 F23 F25">
    <cfRule type="expression" dxfId="30" priority="35">
      <formula>F8=2</formula>
    </cfRule>
  </conditionalFormatting>
  <conditionalFormatting sqref="G9 G11 G13 G15 G17 G19 G21 G23 G25">
    <cfRule type="expression" dxfId="29" priority="34">
      <formula>F8=2</formula>
    </cfRule>
  </conditionalFormatting>
  <conditionalFormatting sqref="H9 H11 H13 H15 H17 H19 H21 H23 H25">
    <cfRule type="expression" dxfId="28" priority="33">
      <formula>F8=2</formula>
    </cfRule>
  </conditionalFormatting>
  <conditionalFormatting sqref="K10 K12 K14 K16 K18 K20 K22 K24">
    <cfRule type="expression" dxfId="27" priority="32">
      <formula>K10=2</formula>
    </cfRule>
  </conditionalFormatting>
  <conditionalFormatting sqref="K11 K13 K15 K17 K19 K21 K23 K25">
    <cfRule type="expression" dxfId="26" priority="31">
      <formula>K10=2</formula>
    </cfRule>
  </conditionalFormatting>
  <conditionalFormatting sqref="L11 L13 L15 L17 L19 L21 L23 L25">
    <cfRule type="expression" dxfId="25" priority="30">
      <formula>K10=2</formula>
    </cfRule>
  </conditionalFormatting>
  <conditionalFormatting sqref="M11 M13 M15 M17 M19 M21 M23 M25">
    <cfRule type="expression" dxfId="24" priority="29">
      <formula>K10=2</formula>
    </cfRule>
  </conditionalFormatting>
  <conditionalFormatting sqref="P12 P14 P16 P18 P20 P22 P24">
    <cfRule type="expression" dxfId="23" priority="28">
      <formula>P12=2</formula>
    </cfRule>
  </conditionalFormatting>
  <conditionalFormatting sqref="P13 P15 P17 P19 P21 P23 P25">
    <cfRule type="expression" dxfId="22" priority="27">
      <formula>P12=2</formula>
    </cfRule>
  </conditionalFormatting>
  <conditionalFormatting sqref="Q13 Q15 Q17 Q19 Q21 Q23 Q25">
    <cfRule type="expression" dxfId="21" priority="26">
      <formula>P12=2</formula>
    </cfRule>
  </conditionalFormatting>
  <conditionalFormatting sqref="R13 R15 R17 R19 R21 R23 R25">
    <cfRule type="expression" dxfId="20" priority="25">
      <formula>P12=2</formula>
    </cfRule>
  </conditionalFormatting>
  <conditionalFormatting sqref="U14 U16 U18 U20 U22 U24">
    <cfRule type="expression" dxfId="19" priority="24">
      <formula>U14=2</formula>
    </cfRule>
  </conditionalFormatting>
  <conditionalFormatting sqref="U15 U17 U19 U21 U23 U25">
    <cfRule type="expression" dxfId="18" priority="23">
      <formula>U14=2</formula>
    </cfRule>
  </conditionalFormatting>
  <conditionalFormatting sqref="V15 V17 V19 V21 V23 V25">
    <cfRule type="expression" dxfId="17" priority="22">
      <formula>U14=2</formula>
    </cfRule>
  </conditionalFormatting>
  <conditionalFormatting sqref="W15 W17 W19 W21 W23 W25">
    <cfRule type="expression" dxfId="16" priority="21">
      <formula>U14=2</formula>
    </cfRule>
  </conditionalFormatting>
  <conditionalFormatting sqref="Z16 Z18 Z20 Z22 Z24">
    <cfRule type="expression" dxfId="15" priority="20">
      <formula>Z16=2</formula>
    </cfRule>
  </conditionalFormatting>
  <conditionalFormatting sqref="Z17 Z19 Z21 Z23 Z25">
    <cfRule type="expression" dxfId="14" priority="19">
      <formula>Z16=2</formula>
    </cfRule>
  </conditionalFormatting>
  <conditionalFormatting sqref="AA17 AA19 AA21 AA23 AA25">
    <cfRule type="expression" dxfId="13" priority="18">
      <formula>Z16=2</formula>
    </cfRule>
  </conditionalFormatting>
  <conditionalFormatting sqref="AB17 AB19 AB21 AB23 AB25">
    <cfRule type="expression" dxfId="12" priority="17">
      <formula>Z16=2</formula>
    </cfRule>
  </conditionalFormatting>
  <conditionalFormatting sqref="AE18 AE20 AE22 AE24">
    <cfRule type="expression" dxfId="11" priority="16">
      <formula>AE18=2</formula>
    </cfRule>
  </conditionalFormatting>
  <conditionalFormatting sqref="AE19 AE21 AE23 AE25">
    <cfRule type="expression" dxfId="10" priority="15">
      <formula>AE18=2</formula>
    </cfRule>
  </conditionalFormatting>
  <conditionalFormatting sqref="AF19 AF21 AF23 AF25">
    <cfRule type="expression" dxfId="9" priority="14">
      <formula>AE18=2</formula>
    </cfRule>
  </conditionalFormatting>
  <conditionalFormatting sqref="AG19 AG21 AG23 AG25">
    <cfRule type="expression" dxfId="8" priority="13">
      <formula>AE18=2</formula>
    </cfRule>
  </conditionalFormatting>
  <conditionalFormatting sqref="AJ20 AJ22 AJ24">
    <cfRule type="expression" dxfId="7" priority="12">
      <formula>AJ20=2</formula>
    </cfRule>
  </conditionalFormatting>
  <conditionalFormatting sqref="AJ21 AJ23 AJ25">
    <cfRule type="expression" dxfId="6" priority="11">
      <formula>AJ20=2</formula>
    </cfRule>
  </conditionalFormatting>
  <conditionalFormatting sqref="AK21 AK23 AK25">
    <cfRule type="expression" dxfId="5" priority="10">
      <formula>AJ20=2</formula>
    </cfRule>
  </conditionalFormatting>
  <conditionalFormatting sqref="AL21 AL23 AL25">
    <cfRule type="expression" dxfId="4" priority="9">
      <formula>AJ20=2</formula>
    </cfRule>
  </conditionalFormatting>
  <conditionalFormatting sqref="AO22 AO24">
    <cfRule type="expression" dxfId="3" priority="8">
      <formula>AO22=2</formula>
    </cfRule>
  </conditionalFormatting>
  <conditionalFormatting sqref="AO23 AO25">
    <cfRule type="expression" dxfId="2" priority="7">
      <formula>AO22=2</formula>
    </cfRule>
  </conditionalFormatting>
  <conditionalFormatting sqref="AP23 AP25">
    <cfRule type="expression" dxfId="1" priority="6">
      <formula>AO22=2</formula>
    </cfRule>
  </conditionalFormatting>
  <conditionalFormatting sqref="AQ23 AQ25">
    <cfRule type="expression" dxfId="0" priority="5">
      <formula>AO22=2</formula>
    </cfRule>
  </conditionalFormatting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74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  <pageSetUpPr fitToPage="1"/>
  </sheetPr>
  <dimension ref="A1:IU102"/>
  <sheetViews>
    <sheetView topLeftCell="B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"Спортшкола - Юноши" г.Ялта</v>
      </c>
      <c r="B1" s="576"/>
      <c r="C1" s="577" t="str">
        <f>IF(D11="","",VLOOKUP(D11,Список!B:O,12,FALSE))</f>
        <v>«Дрим Тим» г.Симферополь</v>
      </c>
      <c r="D1" s="578"/>
      <c r="E1" s="579">
        <v>15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91</v>
      </c>
      <c r="B2" s="13" t="str">
        <f>IF(A2="","",VLOOKUP(A2,Список!E:O,2,FALSE))</f>
        <v xml:space="preserve"> Бородин Илья Николаевич</v>
      </c>
      <c r="C2" s="14">
        <f>IF($B$11="","",$D$11*10+1)</f>
        <v>41</v>
      </c>
      <c r="D2" s="15" t="str">
        <f>IF(C2="","",VLOOKUP(C2,Список!E:O,2,FALSE))</f>
        <v xml:space="preserve"> Гаврилов Денис Михайлович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92</v>
      </c>
      <c r="B3" s="13" t="str">
        <f>IF(A3="","",VLOOKUP(A3,Список!E:O,2,FALSE))</f>
        <v xml:space="preserve"> Чекалов Никита Геннадьевич</v>
      </c>
      <c r="C3" s="14">
        <f>IF($B$11="","",$D$11*10+2)</f>
        <v>42</v>
      </c>
      <c r="D3" s="15" t="str">
        <f>IF(C3="","",VLOOKUP(C3,Список!E:O,2,FALSE))</f>
        <v xml:space="preserve"> Курило Игорь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93</v>
      </c>
      <c r="B4" s="13" t="str">
        <f>IF(A4="","",VLOOKUP(A4,Список!E:O,2,FALSE))</f>
        <v xml:space="preserve"> Груздов Дарион Сергеевич</v>
      </c>
      <c r="C4" s="14">
        <f>IF($B$11="","",$D$11*10+3)</f>
        <v>43</v>
      </c>
      <c r="D4" s="15" t="str">
        <f>IF(C4="","",VLOOKUP(C4,Список!E:O,2,FALSE))</f>
        <v xml:space="preserve"> Длугоканский Андрей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94</v>
      </c>
      <c r="B5" s="13" t="str">
        <f>IF(A5="","",VLOOKUP(A5,Список!E:O,2,FALSE))</f>
        <v xml:space="preserve"> Чекалов Дмитрий Геннадьевич</v>
      </c>
      <c r="C5" s="14">
        <f>IF($B$11="","",$D$11*10+4)</f>
        <v>44</v>
      </c>
      <c r="D5" s="15" t="str">
        <f>IF(C5="","",VLOOKUP(C5,Список!E:O,2,FALSE))</f>
        <v xml:space="preserve"> Полтев Данил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95</v>
      </c>
      <c r="B6" s="13" t="str">
        <f>IF(A6="","",VLOOKUP(A6,Список!E:O,2,FALSE))</f>
        <v xml:space="preserve"> Михайленко Кирилл Вадимович</v>
      </c>
      <c r="C6" s="14">
        <f>IF($B$11="","",$D$11*10+5)</f>
        <v>45</v>
      </c>
      <c r="D6" s="15" t="str">
        <f>IF(C6="","",VLOOKUP(C6,Список!E:O,2,FALSE))</f>
        <v xml:space="preserve"> Ткаченко Владимир Михайлович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96</v>
      </c>
      <c r="B7" s="13" t="str">
        <f>IF(A7="","",VLOOKUP(A7,Список!E:O,2,FALSE))</f>
        <v xml:space="preserve"> Груздов Даниэль Сергеевич</v>
      </c>
      <c r="C7" s="14">
        <f>IF($B$11="","",$D$11*10+6)</f>
        <v>46</v>
      </c>
      <c r="D7" s="15" t="str">
        <f>IF(C7="","",VLOOKUP(C7,Список!E:O,2,FALSE))</f>
        <v xml:space="preserve"> Животов Дмитрий Викторович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97</v>
      </c>
      <c r="B8" s="13" t="str">
        <f>IF(A8="","",VLOOKUP(A8,Список!E:O,2,FALSE))</f>
        <v>-</v>
      </c>
      <c r="C8" s="14">
        <f>IF($B$11="","",$D$11*10+7)</f>
        <v>47</v>
      </c>
      <c r="D8" s="15" t="str">
        <f>IF(C8="","",VLOOKUP(C8,Список!E:O,2,FALSE))</f>
        <v xml:space="preserve"> Скоробогатов Евгений Петрович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«Дрим Тим»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"Спортшкола - Юноши" г.Ялта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98</v>
      </c>
      <c r="B9" s="13" t="str">
        <f>IF(A9="","",VLOOKUP(A9,Список!E:O,2,FALSE))</f>
        <v>-</v>
      </c>
      <c r="C9" s="14">
        <f>IF($B$11="","",$D$11*10+8)</f>
        <v>48</v>
      </c>
      <c r="D9" s="15" t="str">
        <f>IF(C9="","",VLOOKUP(C9,Список!E:O,2,FALSE))</f>
        <v xml:space="preserve"> Скоробогатов Александр Евгеньевич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9</v>
      </c>
      <c r="C11" s="27" t="s">
        <v>18</v>
      </c>
      <c r="D11" s="29">
        <v>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"Спортшкола - Юноши" г.Ялта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«Дрим Тим»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13:20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90</v>
      </c>
      <c r="D12" s="25">
        <f>IF(B11="","",D11*10)</f>
        <v>40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4</v>
      </c>
      <c r="B13" s="566"/>
      <c r="C13" s="565">
        <f>IF($E$1="","",VLOOKUP($E$1,'Общее расписание'!$B:$V,3,FALSE))</f>
        <v>9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Прима В.А.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Скоробогатов Е.П.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3, встреча 15, 4 - 9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15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92</v>
      </c>
      <c r="C16" s="41" t="s">
        <v>35</v>
      </c>
      <c r="D16" s="40">
        <v>45</v>
      </c>
      <c r="E16" s="42" t="s">
        <v>171</v>
      </c>
      <c r="F16" s="42" t="s">
        <v>171</v>
      </c>
      <c r="G16" s="42" t="s">
        <v>171</v>
      </c>
      <c r="H16" s="42"/>
      <c r="I16" s="42"/>
      <c r="J16" s="43">
        <f>IF(E16="","",IF(E16="0",1000,IF(E16="-0",-1000,E16*1)))</f>
        <v>-6</v>
      </c>
      <c r="K16" s="43">
        <f>IF(F16="","",IF(F16="0",1000,IF(F16="-0",-1000,F16*1)))</f>
        <v>-6</v>
      </c>
      <c r="L16" s="43">
        <f>IF(G16="","",IF(G16="0",1000,IF(G16="-0",-1000,G16*1)))</f>
        <v>-6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Чекалов Никита Геннадьевич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Ткаченко Владимир Михайлович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6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6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6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6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6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6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6</v>
      </c>
      <c r="IJ16" s="56">
        <f>IF(F16="","",EY16*1)</f>
        <v>6</v>
      </c>
      <c r="IK16" s="56">
        <f>IF(G16="","",FI16*1)</f>
        <v>6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18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95</v>
      </c>
      <c r="C17" s="41" t="s">
        <v>34</v>
      </c>
      <c r="D17" s="40">
        <v>44</v>
      </c>
      <c r="E17" s="42" t="s">
        <v>157</v>
      </c>
      <c r="F17" s="42" t="s">
        <v>156</v>
      </c>
      <c r="G17" s="42" t="s">
        <v>171</v>
      </c>
      <c r="H17" s="42" t="s">
        <v>152</v>
      </c>
      <c r="I17" s="42"/>
      <c r="J17" s="43">
        <f t="shared" ref="J17:N20" si="2">IF(E17="","",IF(E17="0",1000,IF(E17="-0",-1000,E17*1)))</f>
        <v>9</v>
      </c>
      <c r="K17" s="43">
        <f t="shared" si="2"/>
        <v>-9</v>
      </c>
      <c r="L17" s="43">
        <f t="shared" si="2"/>
        <v>-6</v>
      </c>
      <c r="M17" s="43">
        <f t="shared" si="2"/>
        <v>-7</v>
      </c>
      <c r="N17" s="43" t="str">
        <f t="shared" si="2"/>
        <v/>
      </c>
      <c r="O17" s="44">
        <f>IF(J17="","",IF(J17&gt;0,1,0))</f>
        <v>1</v>
      </c>
      <c r="P17" s="44">
        <f t="shared" si="0"/>
        <v>0</v>
      </c>
      <c r="Q17" s="44">
        <f t="shared" si="0"/>
        <v>0</v>
      </c>
      <c r="R17" s="44">
        <f t="shared" si="0"/>
        <v>0</v>
      </c>
      <c r="S17" s="44" t="str">
        <f t="shared" si="0"/>
        <v/>
      </c>
      <c r="T17" s="45">
        <f t="shared" si="1"/>
        <v>0</v>
      </c>
      <c r="U17" s="45">
        <f t="shared" si="1"/>
        <v>1</v>
      </c>
      <c r="V17" s="45">
        <f t="shared" si="1"/>
        <v>1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Михайленко Кирилл Вадимович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Полтев Данил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9</v>
      </c>
      <c r="EV17" s="255"/>
      <c r="EW17" s="255"/>
      <c r="EX17" s="256"/>
      <c r="EY17" s="257">
        <f>IF(F17="","",IF(K17&gt;9,HU17,HS17))</f>
        <v>9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6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>
        <f>IF(H17="","",IF(M17&gt;9,IC17,IA17))</f>
        <v>7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 t="str">
        <f>IF(E17="","",IF(J17=1000,11,IF(J17=-1000,0,IF(J17&lt;9,11,IF(J17&gt;9,(J17+2),"0")))))</f>
        <v>0</v>
      </c>
      <c r="HR17" s="52">
        <f>IF(E17="","",IF(J17=1000,0,IF(J17=-1000,11,IF(J17&lt;0,11,IF(J17&gt;0,(J17),"0")))))</f>
        <v>9</v>
      </c>
      <c r="HS17" s="53">
        <f>IF(F17="","",IF(K17=1000,11,IF(K17=-1000,0,IF(K17&gt;0,11,IF(K17&lt;0,(-K17),"0")))))</f>
        <v>9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6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7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9</v>
      </c>
      <c r="IK17" s="56">
        <f>IF(G17="","",FI17*1)</f>
        <v>6</v>
      </c>
      <c r="IL17" s="56">
        <f>IF(H17="","",FS17*1)</f>
        <v>7</v>
      </c>
      <c r="IM17" s="56" t="str">
        <f>IF(I17="","",GC17*1)</f>
        <v/>
      </c>
      <c r="IN17" s="57">
        <f>IF(E17="","",EU17*1)</f>
        <v>9</v>
      </c>
      <c r="IO17" s="57">
        <f>IF(F17="","",FE17*1)</f>
        <v>11</v>
      </c>
      <c r="IP17" s="57">
        <f>IF(G17="","",FO17*1)</f>
        <v>11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42</v>
      </c>
    </row>
    <row r="18" spans="1:254" ht="30" customHeight="1" x14ac:dyDescent="0.2">
      <c r="A18" s="39" t="s">
        <v>36</v>
      </c>
      <c r="B18" s="40">
        <v>94</v>
      </c>
      <c r="C18" s="41" t="s">
        <v>37</v>
      </c>
      <c r="D18" s="40">
        <v>43</v>
      </c>
      <c r="E18" s="42" t="s">
        <v>171</v>
      </c>
      <c r="F18" s="42" t="s">
        <v>152</v>
      </c>
      <c r="G18" s="42" t="s">
        <v>171</v>
      </c>
      <c r="H18" s="42"/>
      <c r="I18" s="42"/>
      <c r="J18" s="43">
        <f t="shared" si="2"/>
        <v>-6</v>
      </c>
      <c r="K18" s="43">
        <f t="shared" si="2"/>
        <v>-7</v>
      </c>
      <c r="L18" s="43">
        <f t="shared" si="2"/>
        <v>-6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Чекалов Дмитрий Геннадьевич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Длугоканский Андрей Александрович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6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7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6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6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7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6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6</v>
      </c>
      <c r="IJ18" s="56">
        <f>IF(F18="","",EY18*1)</f>
        <v>7</v>
      </c>
      <c r="IK18" s="56">
        <f>IF(G18="","",FI18*1)</f>
        <v>6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19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92</v>
      </c>
      <c r="C19" s="41" t="s">
        <v>34</v>
      </c>
      <c r="D19" s="59">
        <f>IF(D17=0,"",D17)</f>
        <v>44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Чекалов Никита Геннадьевич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Полтев Данил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95</v>
      </c>
      <c r="C20" s="41" t="s">
        <v>35</v>
      </c>
      <c r="D20" s="59">
        <f>IF(D16=0,"",D16)</f>
        <v>45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Михайленко Кирилл Вадимович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 t="s">
        <v>94</v>
      </c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Ткаченко Владимир Михайлович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4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«Дрим Тим»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1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70</v>
      </c>
      <c r="IT21" s="65">
        <f>IF(E16="","",SUM(IT16:IT20))</f>
        <v>108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 t="s">
        <v>94</v>
      </c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15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"Спортшкола - Юноши" г.Ялта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«Дрим Тим»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92</v>
      </c>
      <c r="F57" s="481"/>
      <c r="G57" s="9"/>
      <c r="H57" s="480">
        <f>C2</f>
        <v>41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104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93</v>
      </c>
      <c r="F58" s="481"/>
      <c r="G58" s="9"/>
      <c r="H58" s="480">
        <f>C4</f>
        <v>43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105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96</v>
      </c>
      <c r="F59" s="481"/>
      <c r="G59" s="9"/>
      <c r="H59" s="480">
        <f>C7</f>
        <v>46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97</v>
      </c>
      <c r="F60" s="481"/>
      <c r="G60" s="9"/>
      <c r="H60" s="480">
        <f>C8</f>
        <v>47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98</v>
      </c>
      <c r="F61" s="481"/>
      <c r="G61" s="9"/>
      <c r="H61" s="480">
        <f>C9</f>
        <v>48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99</v>
      </c>
      <c r="F62" s="481"/>
      <c r="G62" s="9"/>
      <c r="H62" s="480">
        <f>1+H61</f>
        <v>49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100</v>
      </c>
      <c r="F63" s="481"/>
      <c r="G63" s="9"/>
      <c r="H63" s="480">
        <f>1+H62</f>
        <v>50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101</v>
      </c>
      <c r="F64" s="481"/>
      <c r="G64" s="9"/>
      <c r="H64" s="480">
        <f>1+H63</f>
        <v>51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102</v>
      </c>
      <c r="F65" s="481"/>
      <c r="G65" s="9"/>
      <c r="H65" s="480">
        <f>1+H64</f>
        <v>52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103</v>
      </c>
      <c r="F66" s="481"/>
      <c r="G66" s="9"/>
      <c r="H66" s="480">
        <f>1+H65</f>
        <v>53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92D050"/>
    <pageSetUpPr fitToPage="1"/>
  </sheetPr>
  <dimension ref="A1:JQ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77" ht="23.25" customHeight="1" x14ac:dyDescent="0.2">
      <c r="A1" s="576" t="str">
        <f>IF(B11="","",VLOOKUP(B11,Список!B:O,12,FALSE))</f>
        <v>"РУСИЧИ" г.Симферополь</v>
      </c>
      <c r="B1" s="576"/>
      <c r="C1" s="577" t="str">
        <f>IF(D11="","",VLOOKUP(D11,Список!B:O,12,FALSE))</f>
        <v>«АРСЕНАЛ-С» г.Севастополь</v>
      </c>
      <c r="D1" s="578"/>
      <c r="E1" s="579">
        <v>16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77" s="11" customFormat="1" ht="30" customHeight="1" x14ac:dyDescent="0.2">
      <c r="A2" s="12">
        <f>IF($B$11="","",$B$11*10+1)</f>
        <v>11</v>
      </c>
      <c r="B2" s="13" t="str">
        <f>IF(A2="","",VLOOKUP(A2,Список!E:O,2,FALSE))</f>
        <v xml:space="preserve"> Кривошеев Вячеслав Александрович</v>
      </c>
      <c r="C2" s="14">
        <f>IF($B$11="","",$D$11*10+1)</f>
        <v>61</v>
      </c>
      <c r="D2" s="15" t="str">
        <f>IF(C2="","",VLOOKUP(C2,Список!E:O,2,FALSE))</f>
        <v xml:space="preserve"> Перфильев Алексей Алексеевич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77" s="11" customFormat="1" ht="30" customHeight="1" x14ac:dyDescent="0.2">
      <c r="A3" s="12">
        <f>IF($B$11="","",$B$11*10+2)</f>
        <v>12</v>
      </c>
      <c r="B3" s="13" t="str">
        <f>IF(A3="","",VLOOKUP(A3,Список!E:O,2,FALSE))</f>
        <v xml:space="preserve"> Панченко Артем Иванович</v>
      </c>
      <c r="C3" s="14">
        <f>IF($B$11="","",$D$11*10+2)</f>
        <v>62</v>
      </c>
      <c r="D3" s="15" t="str">
        <f>IF(C3="","",VLOOKUP(C3,Список!E:O,2,FALSE))</f>
        <v xml:space="preserve"> Чернокнижников Александр Максимович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77" s="11" customFormat="1" ht="30" customHeight="1" x14ac:dyDescent="0.2">
      <c r="A4" s="12">
        <f>IF($B$11="","",$B$11*10+3)</f>
        <v>13</v>
      </c>
      <c r="B4" s="13" t="str">
        <f>IF(A4="","",VLOOKUP(A4,Список!E:O,2,FALSE))</f>
        <v xml:space="preserve"> Исаков Илья Павлович</v>
      </c>
      <c r="C4" s="14">
        <f>IF($B$11="","",$D$11*10+3)</f>
        <v>63</v>
      </c>
      <c r="D4" s="15" t="str">
        <f>IF(C4="","",VLOOKUP(C4,Список!E:O,2,FALSE))</f>
        <v xml:space="preserve"> Шило Алексей Вячеславович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77" ht="18.75" customHeight="1" x14ac:dyDescent="0.2">
      <c r="A5" s="12">
        <f>IF($B$11="","",$B$11*10+4)</f>
        <v>14</v>
      </c>
      <c r="B5" s="13" t="str">
        <f>IF(A5="","",VLOOKUP(A5,Список!E:O,2,FALSE))</f>
        <v xml:space="preserve"> Масовер Андрей Ромазанович</v>
      </c>
      <c r="C5" s="14">
        <f>IF($B$11="","",$D$11*10+4)</f>
        <v>64</v>
      </c>
      <c r="D5" s="15" t="str">
        <f>IF(C5="","",VLOOKUP(C5,Список!E:O,2,FALSE))</f>
        <v xml:space="preserve"> Овчаренко Игорь Викторович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77" ht="18.75" customHeight="1" x14ac:dyDescent="0.2">
      <c r="A6" s="12">
        <f>IF($B$11="","",$B$11*10+5)</f>
        <v>15</v>
      </c>
      <c r="B6" s="13" t="str">
        <f>IF(A6="","",VLOOKUP(A6,Список!E:O,2,FALSE))</f>
        <v xml:space="preserve"> Губанов Никита Сергеевич</v>
      </c>
      <c r="C6" s="14">
        <f>IF($B$11="","",$D$11*10+5)</f>
        <v>65</v>
      </c>
      <c r="D6" s="15" t="str">
        <f>IF(C6="","",VLOOKUP(C6,Список!E:O,2,FALSE))</f>
        <v xml:space="preserve"> Королев Роман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77" ht="18.75" customHeight="1" x14ac:dyDescent="0.2">
      <c r="A7" s="12">
        <f>IF($B$11="","",$B$11*10+6)</f>
        <v>16</v>
      </c>
      <c r="B7" s="13" t="str">
        <f>IF(A7="","",VLOOKUP(A7,Список!E:O,2,FALSE))</f>
        <v xml:space="preserve"> Зайцев Игорь Владимирович</v>
      </c>
      <c r="C7" s="14">
        <f>IF($B$11="","",$D$11*10+6)</f>
        <v>66</v>
      </c>
      <c r="D7" s="15" t="str">
        <f>IF(C7="","",VLOOKUP(C7,Список!E:O,2,FALSE))</f>
        <v xml:space="preserve"> Горелкин Анатолий Николаевич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77" ht="39" customHeight="1" x14ac:dyDescent="0.25">
      <c r="A8" s="12">
        <f>IF($B$11="","",$B$11*10+7)</f>
        <v>17</v>
      </c>
      <c r="B8" s="13" t="str">
        <f>IF(A8="","",VLOOKUP(A8,Список!E:O,2,FALSE))</f>
        <v xml:space="preserve"> Щепетнев Дмитрий Владимирович</v>
      </c>
      <c r="C8" s="14">
        <f>IF($B$11="","",$D$11*10+7)</f>
        <v>67</v>
      </c>
      <c r="D8" s="15" t="str">
        <f>IF(C8="","",VLOOKUP(C8,Список!E:O,2,FALSE))</f>
        <v xml:space="preserve"> Осипов Владимир Владимирович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«АРСЕНАЛ-С» г.Севастополь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"РУСИЧИ"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77" ht="18.75" customHeight="1" thickBot="1" x14ac:dyDescent="0.25">
      <c r="A9" s="12">
        <f>IF($B$11="","",$B$11*10+8)</f>
        <v>18</v>
      </c>
      <c r="B9" s="13" t="str">
        <f>IF(A9="","",VLOOKUP(A9,Список!E:O,2,FALSE))</f>
        <v xml:space="preserve"> Панков Леонид Александрович</v>
      </c>
      <c r="C9" s="14">
        <f>IF($B$11="","",$D$11*10+8)</f>
        <v>68</v>
      </c>
      <c r="D9" s="15" t="str">
        <f>IF(C9="","",VLOOKUP(C9,Список!E:O,2,FALSE))</f>
        <v xml:space="preserve"> Митин Павел Вадимович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77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77" ht="30" customHeight="1" thickBot="1" x14ac:dyDescent="0.25">
      <c r="A11" s="27" t="s">
        <v>17</v>
      </c>
      <c r="B11" s="28">
        <v>1</v>
      </c>
      <c r="C11" s="27" t="s">
        <v>18</v>
      </c>
      <c r="D11" s="29">
        <f>IF(B11="","",IF(B11=A13,C13,IF(B11=C13,A13,)))</f>
        <v>6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"РУСИЧИ"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«АРСЕНАЛ-С» г.Севастополь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77" ht="30" customHeight="1" thickBot="1" x14ac:dyDescent="0.25">
      <c r="B12" s="25">
        <f>IF(B11="","",B11*10)</f>
        <v>10</v>
      </c>
      <c r="D12" s="25">
        <f>IF(B11="","",D11*10)</f>
        <v>60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77" ht="30" customHeight="1" thickBot="1" x14ac:dyDescent="0.25">
      <c r="A13" s="565">
        <f>IF($E$1="","",VLOOKUP($E$1,'Общее расписание'!$B:$V,2,FALSE))</f>
        <v>6</v>
      </c>
      <c r="B13" s="566"/>
      <c r="C13" s="565">
        <f>IF($E$1="","",VLOOKUP($E$1,'Общее расписание'!$B:$V,3,FALSE))</f>
        <v>1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Панков Л.А.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Свистунов А.Н.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4, встреча 16, 6 - 1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16</v>
      </c>
      <c r="HG13" s="278"/>
      <c r="HH13" s="278"/>
      <c r="HI13" s="278"/>
      <c r="HJ13" s="278"/>
      <c r="HK13" s="278"/>
      <c r="HL13" s="278"/>
      <c r="HM13" s="278"/>
      <c r="HN13" s="279"/>
    </row>
    <row r="14" spans="1:277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77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77" ht="30" customHeight="1" thickTop="1" x14ac:dyDescent="0.35">
      <c r="A16" s="39" t="s">
        <v>17</v>
      </c>
      <c r="B16" s="40">
        <v>11</v>
      </c>
      <c r="C16" s="41" t="s">
        <v>35</v>
      </c>
      <c r="D16" s="40">
        <v>67</v>
      </c>
      <c r="E16" s="42" t="s">
        <v>160</v>
      </c>
      <c r="F16" s="42" t="s">
        <v>155</v>
      </c>
      <c r="G16" s="42" t="s">
        <v>158</v>
      </c>
      <c r="H16" s="42"/>
      <c r="I16" s="42"/>
      <c r="J16" s="43">
        <f>IF(E16="","",IF(E16="0",1000,IF(E16="-0",-1000,E16*1)))</f>
        <v>3</v>
      </c>
      <c r="K16" s="43">
        <f>IF(F16="","",IF(F16="0",1000,IF(F16="-0",-1000,F16*1)))</f>
        <v>5</v>
      </c>
      <c r="L16" s="43">
        <f>IF(G16="","",IF(G16="0",1000,IF(G16="-0",-1000,G16*1)))</f>
        <v>1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Кривошеев Вячеслав Александрович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Осипов Владимир Владимирович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3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5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3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5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3</v>
      </c>
      <c r="IO16" s="57">
        <f>IF(F16="","",FE16*1)</f>
        <v>5</v>
      </c>
      <c r="IP16" s="57">
        <f>IF(G16="","",FO16*1)</f>
        <v>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9</v>
      </c>
      <c r="JQ16" s="9" t="s">
        <v>123</v>
      </c>
    </row>
    <row r="17" spans="1:254" ht="30" customHeight="1" x14ac:dyDescent="0.35">
      <c r="A17" s="39" t="s">
        <v>18</v>
      </c>
      <c r="B17" s="40">
        <v>14</v>
      </c>
      <c r="C17" s="41" t="s">
        <v>34</v>
      </c>
      <c r="D17" s="40">
        <v>66</v>
      </c>
      <c r="E17" s="42" t="s">
        <v>153</v>
      </c>
      <c r="F17" s="42" t="s">
        <v>153</v>
      </c>
      <c r="G17" s="42" t="s">
        <v>166</v>
      </c>
      <c r="H17" s="42"/>
      <c r="I17" s="42"/>
      <c r="J17" s="43">
        <f t="shared" ref="J17:N20" si="2">IF(E17="","",IF(E17="0",1000,IF(E17="-0",-1000,E17*1)))</f>
        <v>7</v>
      </c>
      <c r="K17" s="43">
        <f t="shared" si="2"/>
        <v>7</v>
      </c>
      <c r="L17" s="43">
        <f t="shared" si="2"/>
        <v>8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Масовер Андрей Ромазанович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Горелкин Анатолий Николаевич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7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7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8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7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7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8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7</v>
      </c>
      <c r="IO17" s="57">
        <f>IF(F17="","",FE17*1)</f>
        <v>7</v>
      </c>
      <c r="IP17" s="57">
        <f>IF(G17="","",FO17*1)</f>
        <v>8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22</v>
      </c>
    </row>
    <row r="18" spans="1:254" ht="30" customHeight="1" x14ac:dyDescent="0.2">
      <c r="A18" s="39" t="s">
        <v>36</v>
      </c>
      <c r="B18" s="40">
        <v>18</v>
      </c>
      <c r="C18" s="41" t="s">
        <v>37</v>
      </c>
      <c r="D18" s="40"/>
      <c r="E18" s="42" t="s">
        <v>159</v>
      </c>
      <c r="F18" s="42" t="s">
        <v>159</v>
      </c>
      <c r="G18" s="42" t="s">
        <v>159</v>
      </c>
      <c r="H18" s="42"/>
      <c r="I18" s="42"/>
      <c r="J18" s="43">
        <f t="shared" si="2"/>
        <v>1000</v>
      </c>
      <c r="K18" s="43">
        <f t="shared" si="2"/>
        <v>1000</v>
      </c>
      <c r="L18" s="43">
        <f t="shared" si="2"/>
        <v>1000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Панков Леонид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/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0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0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0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0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0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0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0</v>
      </c>
      <c r="IO18" s="57">
        <f>IF(F18="","",FE18*1)</f>
        <v>0</v>
      </c>
      <c r="IP18" s="57">
        <f>IF(G18="","",FO18*1)</f>
        <v>0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0</v>
      </c>
    </row>
    <row r="19" spans="1:254" ht="30" customHeight="1" x14ac:dyDescent="0.2">
      <c r="A19" s="39" t="s">
        <v>17</v>
      </c>
      <c r="B19" s="59">
        <f>IF(B16=0,"",B16)</f>
        <v>11</v>
      </c>
      <c r="C19" s="41" t="s">
        <v>34</v>
      </c>
      <c r="D19" s="59">
        <v>66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Кривошеев Вячеслав Александрович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Горелкин Анатолий Николаевич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14</v>
      </c>
      <c r="C20" s="41" t="s">
        <v>35</v>
      </c>
      <c r="D20" s="59">
        <v>67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Масовер Андрей Ромазанович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Осипов Владимир Владимирович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0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0</v>
      </c>
      <c r="HI21" s="228"/>
      <c r="HJ21" s="228"/>
      <c r="HK21" s="228"/>
      <c r="HL21" s="228"/>
      <c r="HM21" s="228"/>
      <c r="HN21" s="231"/>
      <c r="IS21" s="64">
        <f>IF(E16="","",SUM(IS16:IS20))</f>
        <v>99</v>
      </c>
      <c r="IT21" s="65">
        <f>IF(E16="","",SUM(IT16:IT20))</f>
        <v>31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16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"РУСИЧИ"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«АРСЕНАЛ-С» г.Севастополь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12</v>
      </c>
      <c r="F57" s="481"/>
      <c r="G57" s="9"/>
      <c r="H57" s="480">
        <f>C2</f>
        <v>61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109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13</v>
      </c>
      <c r="F58" s="481"/>
      <c r="G58" s="9"/>
      <c r="H58" s="480">
        <f>C4</f>
        <v>63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107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16</v>
      </c>
      <c r="F59" s="481"/>
      <c r="G59" s="9"/>
      <c r="H59" s="480">
        <f>C7</f>
        <v>66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17</v>
      </c>
      <c r="F60" s="481"/>
      <c r="G60" s="9"/>
      <c r="H60" s="480">
        <f>C8</f>
        <v>67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18</v>
      </c>
      <c r="F61" s="481"/>
      <c r="G61" s="9"/>
      <c r="H61" s="480">
        <f>C9</f>
        <v>68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19</v>
      </c>
      <c r="F62" s="481"/>
      <c r="G62" s="9"/>
      <c r="H62" s="480">
        <f>1+H61</f>
        <v>69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20</v>
      </c>
      <c r="F63" s="481"/>
      <c r="G63" s="9"/>
      <c r="H63" s="480">
        <f>1+H62</f>
        <v>70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21</v>
      </c>
      <c r="F64" s="481"/>
      <c r="G64" s="9"/>
      <c r="H64" s="480">
        <f>1+H63</f>
        <v>71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22</v>
      </c>
      <c r="F65" s="481"/>
      <c r="G65" s="9"/>
      <c r="H65" s="480">
        <f>1+H64</f>
        <v>72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23</v>
      </c>
      <c r="F66" s="481"/>
      <c r="G66" s="9"/>
      <c r="H66" s="480">
        <f>1+H65</f>
        <v>73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92D050"/>
    <pageSetUpPr fitToPage="1"/>
  </sheetPr>
  <dimension ref="A1:IU102"/>
  <sheetViews>
    <sheetView topLeftCell="E5" zoomScale="54" zoomScaleNormal="54" zoomScaleSheetLayoutView="40" workbookViewId="0">
      <pane xSplit="49440" ySplit="20715" topLeftCell="GQ19"/>
      <selection activeCell="IW20" sqref="IW20"/>
      <selection pane="topRight" activeCell="E16" sqref="E16"/>
      <selection pane="bottomLeft" activeCell="E16" sqref="E16"/>
      <selection pane="bottomRight"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«СШ №3(2)» г.Симферополь</v>
      </c>
      <c r="B1" s="576"/>
      <c r="C1" s="577" t="str">
        <f>IF(D11="","",VLOOKUP(D11,Список!B:O,12,FALSE))</f>
        <v>«Аэропорт - СШ №3» г.Симферополь</v>
      </c>
      <c r="D1" s="578"/>
      <c r="E1" s="579">
        <v>17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101</v>
      </c>
      <c r="B2" s="13" t="str">
        <f>IF(A2="","",VLOOKUP(A2,Список!E:O,2,FALSE))</f>
        <v xml:space="preserve"> Талалай Игорь Сергеевич</v>
      </c>
      <c r="C2" s="14">
        <f>IF($B$11="","",$D$11*10+1)</f>
        <v>21</v>
      </c>
      <c r="D2" s="15" t="str">
        <f>IF(C2="","",VLOOKUP(C2,Список!E:O,2,FALSE))</f>
        <v xml:space="preserve"> Павлина Сергей Станиславович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102</v>
      </c>
      <c r="B3" s="13" t="str">
        <f>IF(A3="","",VLOOKUP(A3,Список!E:O,2,FALSE))</f>
        <v xml:space="preserve"> Назаренко Олег Михайлович</v>
      </c>
      <c r="C3" s="14">
        <f>IF($B$11="","",$D$11*10+2)</f>
        <v>22</v>
      </c>
      <c r="D3" s="15" t="str">
        <f>IF(C3="","",VLOOKUP(C3,Список!E:O,2,FALSE))</f>
        <v xml:space="preserve"> Банников Юрий Владимирович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103</v>
      </c>
      <c r="B4" s="13" t="str">
        <f>IF(A4="","",VLOOKUP(A4,Список!E:O,2,FALSE))</f>
        <v xml:space="preserve"> Романовский Александр Витальевич</v>
      </c>
      <c r="C4" s="14">
        <f>IF($B$11="","",$D$11*10+3)</f>
        <v>23</v>
      </c>
      <c r="D4" s="15" t="str">
        <f>IF(C4="","",VLOOKUP(C4,Список!E:O,2,FALSE))</f>
        <v xml:space="preserve"> Лодыгин Владимир Вадимович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104</v>
      </c>
      <c r="B5" s="13" t="str">
        <f>IF(A5="","",VLOOKUP(A5,Список!E:O,2,FALSE))</f>
        <v xml:space="preserve"> Алексеев Игорь Юрьевич</v>
      </c>
      <c r="C5" s="14">
        <f>IF($B$11="","",$D$11*10+4)</f>
        <v>24</v>
      </c>
      <c r="D5" s="15" t="str">
        <f>IF(C5="","",VLOOKUP(C5,Список!E:O,2,FALSE))</f>
        <v xml:space="preserve"> Соловей Юрий Анатольевич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105</v>
      </c>
      <c r="B6" s="13" t="str">
        <f>IF(A6="","",VLOOKUP(A6,Список!E:O,2,FALSE))</f>
        <v xml:space="preserve"> Тимофеев Александр Сергеевич</v>
      </c>
      <c r="C6" s="14">
        <f>IF($B$11="","",$D$11*10+5)</f>
        <v>25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106</v>
      </c>
      <c r="B7" s="13" t="str">
        <f>IF(A7="","",VLOOKUP(A7,Список!E:O,2,FALSE))</f>
        <v xml:space="preserve"> Спорышев Александр Алексеевич</v>
      </c>
      <c r="C7" s="14">
        <f>IF($B$11="","",$D$11*10+6)</f>
        <v>26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107</v>
      </c>
      <c r="B8" s="13" t="str">
        <f>IF(A8="","",VLOOKUP(A8,Список!E:O,2,FALSE))</f>
        <v>-</v>
      </c>
      <c r="C8" s="14">
        <f>IF($B$11="","",$D$11*10+7)</f>
        <v>27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№3(2)»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«Аэропорт - СШ №3»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108</v>
      </c>
      <c r="B9" s="13" t="str">
        <f>IF(A9="","",VLOOKUP(A9,Список!E:O,2,FALSE))</f>
        <v>-</v>
      </c>
      <c r="C9" s="14">
        <f>IF($B$11="","",$D$11*10+8)</f>
        <v>28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10</v>
      </c>
      <c r="C11" s="27" t="s">
        <v>18</v>
      </c>
      <c r="D11" s="29">
        <f>IF(B11="","",IF(B11=A13,C13,IF(B11=C13,A13,)))</f>
        <v>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«СШ №3(2)»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«Аэропорт - СШ №3»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100</v>
      </c>
      <c r="D12" s="25">
        <f>IF(B11="","",D11*10)</f>
        <v>20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10</v>
      </c>
      <c r="B13" s="566"/>
      <c r="C13" s="565">
        <f>IF($E$1="","",VLOOKUP($E$1,'Общее расписание'!$B:$V,3,FALSE))</f>
        <v>2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Филатов Д.В.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Банников Ю.В.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4, встреча 17, 10 - 2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17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101</v>
      </c>
      <c r="C16" s="41" t="s">
        <v>35</v>
      </c>
      <c r="D16" s="40">
        <v>21</v>
      </c>
      <c r="E16" s="42" t="s">
        <v>172</v>
      </c>
      <c r="F16" s="42" t="s">
        <v>174</v>
      </c>
      <c r="G16" s="42" t="s">
        <v>169</v>
      </c>
      <c r="H16" s="42"/>
      <c r="I16" s="42"/>
      <c r="J16" s="43">
        <f>IF(E16="","",IF(E16="0",1000,IF(E16="-0",-1000,E16*1)))</f>
        <v>-5</v>
      </c>
      <c r="K16" s="43">
        <f>IF(F16="","",IF(F16="0",1000,IF(F16="-0",-1000,F16*1)))</f>
        <v>-3</v>
      </c>
      <c r="L16" s="43">
        <f>IF(G16="","",IF(G16="0",1000,IF(G16="-0",-1000,G16*1)))</f>
        <v>-8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Талалай Игорь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Павлина Сергей Станиславович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5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3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8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5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3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8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5</v>
      </c>
      <c r="IJ16" s="56">
        <f>IF(F16="","",EY16*1)</f>
        <v>3</v>
      </c>
      <c r="IK16" s="56">
        <f>IF(G16="","",FI16*1)</f>
        <v>8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16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105</v>
      </c>
      <c r="C17" s="41" t="s">
        <v>34</v>
      </c>
      <c r="D17" s="40">
        <v>22</v>
      </c>
      <c r="E17" s="42" t="s">
        <v>176</v>
      </c>
      <c r="F17" s="42" t="s">
        <v>171</v>
      </c>
      <c r="G17" s="42" t="s">
        <v>177</v>
      </c>
      <c r="H17" s="42" t="s">
        <v>174</v>
      </c>
      <c r="I17" s="42" t="s">
        <v>152</v>
      </c>
      <c r="J17" s="43">
        <f t="shared" ref="J17:N20" si="2">IF(E17="","",IF(E17="0",1000,IF(E17="-0",-1000,E17*1)))</f>
        <v>10</v>
      </c>
      <c r="K17" s="43">
        <f t="shared" si="2"/>
        <v>-6</v>
      </c>
      <c r="L17" s="43">
        <f t="shared" si="2"/>
        <v>12</v>
      </c>
      <c r="M17" s="43">
        <f t="shared" si="2"/>
        <v>-3</v>
      </c>
      <c r="N17" s="43">
        <f t="shared" si="2"/>
        <v>-7</v>
      </c>
      <c r="O17" s="44">
        <f>IF(J17="","",IF(J17&gt;0,1,0))</f>
        <v>1</v>
      </c>
      <c r="P17" s="44">
        <f t="shared" si="0"/>
        <v>0</v>
      </c>
      <c r="Q17" s="44">
        <f t="shared" si="0"/>
        <v>1</v>
      </c>
      <c r="R17" s="44">
        <f t="shared" si="0"/>
        <v>0</v>
      </c>
      <c r="S17" s="44">
        <f t="shared" si="0"/>
        <v>0</v>
      </c>
      <c r="T17" s="45">
        <f t="shared" si="1"/>
        <v>0</v>
      </c>
      <c r="U17" s="45">
        <f t="shared" si="1"/>
        <v>1</v>
      </c>
      <c r="V17" s="45">
        <f t="shared" si="1"/>
        <v>0</v>
      </c>
      <c r="W17" s="45">
        <f t="shared" si="1"/>
        <v>1</v>
      </c>
      <c r="X17" s="45">
        <f t="shared" si="1"/>
        <v>1</v>
      </c>
      <c r="Y17" s="46">
        <f>IF(E17="","",SUM(O17:S17))</f>
        <v>2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Тимофеев Александр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Банников Юрий Владимирович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12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10</v>
      </c>
      <c r="EV17" s="255"/>
      <c r="EW17" s="255"/>
      <c r="EX17" s="256"/>
      <c r="EY17" s="257">
        <f>IF(F17="","",IF(K17&gt;9,HU17,HS17))</f>
        <v>6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14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12</v>
      </c>
      <c r="FP17" s="255"/>
      <c r="FQ17" s="255"/>
      <c r="FR17" s="256"/>
      <c r="FS17" s="257">
        <f>IF(H17="","",IF(M17&gt;9,IC17,IA17))</f>
        <v>3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>
        <f>IF(I17="","",IF(N17&gt;9,IG17,IE17))</f>
        <v>7</v>
      </c>
      <c r="GD17" s="255"/>
      <c r="GE17" s="255"/>
      <c r="GF17" s="255"/>
      <c r="GG17" s="254" t="str">
        <f>IF(GC17="","","-")</f>
        <v>-</v>
      </c>
      <c r="GH17" s="254"/>
      <c r="GI17" s="255">
        <f>IF(I17="","",IF(N17&lt;-9,IF17,IH17))</f>
        <v>11</v>
      </c>
      <c r="GJ17" s="255"/>
      <c r="GK17" s="255"/>
      <c r="GL17" s="302"/>
      <c r="GM17" s="303">
        <f>Y17</f>
        <v>2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12</v>
      </c>
      <c r="HR17" s="52">
        <f>IF(E17="","",IF(J17=1000,0,IF(J17=-1000,11,IF(J17&lt;0,11,IF(J17&gt;0,(J17),"0")))))</f>
        <v>10</v>
      </c>
      <c r="HS17" s="53">
        <f>IF(F17="","",IF(K17=1000,11,IF(K17=-1000,0,IF(K17&gt;0,11,IF(K17&lt;0,(-K17),"0")))))</f>
        <v>6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14</v>
      </c>
      <c r="HZ17" s="52">
        <f>IF(G17="","",IF(L17=1000,0,IF(L17=-1000,11,IF(L17&lt;0,11,IF(L17&gt;0,(L17),"0")))))</f>
        <v>12</v>
      </c>
      <c r="IA17" s="53">
        <f>IF(H17="","",IF(M17=1000,11,IF(M17=-1000,0,IF(M17&gt;0,11,IF(M17&lt;0,(-M17),"0")))))</f>
        <v>3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>
        <f>IF(I17="","",IF(N17=1000,11,IF(N17=-1000,0,IF(N17&gt;0,11,IF(N17&lt;0,(-N17),"0")))))</f>
        <v>7</v>
      </c>
      <c r="IF17" s="50" t="str">
        <f>IF(I17="","",IF(N17=1000,0,IF(N17=-1000,11,IF(N17&lt;-9,-(N17-2),IF(N17&gt;0,(GY17),"0")))))</f>
        <v>0</v>
      </c>
      <c r="IG17" s="51">
        <f>IF(I17="","",IF(N17=1000,11,IF(N17=-1000,0,IF(N17&lt;9,11,IF(N17&gt;9,(N17+2),"0")))))</f>
        <v>11</v>
      </c>
      <c r="IH17" s="55">
        <f>IF(I17="","",IF(N17=1000,0,IF(N17=-1000,11,IF(N17&lt;0,11,IF(N17&gt;0,(N17),"0")))))</f>
        <v>11</v>
      </c>
      <c r="II17" s="56">
        <f>IF(E17="","",EO17*1)</f>
        <v>12</v>
      </c>
      <c r="IJ17" s="56">
        <f>IF(F17="","",EY17*1)</f>
        <v>6</v>
      </c>
      <c r="IK17" s="56">
        <f>IF(G17="","",FI17*1)</f>
        <v>14</v>
      </c>
      <c r="IL17" s="56">
        <f>IF(H17="","",FS17*1)</f>
        <v>3</v>
      </c>
      <c r="IM17" s="56">
        <f>IF(I17="","",GC17*1)</f>
        <v>7</v>
      </c>
      <c r="IN17" s="57">
        <f>IF(E17="","",EU17*1)</f>
        <v>10</v>
      </c>
      <c r="IO17" s="57">
        <f>IF(F17="","",FE17*1)</f>
        <v>11</v>
      </c>
      <c r="IP17" s="57">
        <f>IF(G17="","",FO17*1)</f>
        <v>12</v>
      </c>
      <c r="IQ17" s="57">
        <f>IF(H17="","",FY17*1)</f>
        <v>11</v>
      </c>
      <c r="IR17" s="57">
        <f>IF(I17="","",GI17*1)</f>
        <v>11</v>
      </c>
      <c r="IS17" s="58">
        <f>IF(E17="","",SUM(II17:IM17))</f>
        <v>42</v>
      </c>
      <c r="IT17" s="58">
        <f>IF(E17="","",SUM(IN17:IR17))</f>
        <v>55</v>
      </c>
    </row>
    <row r="18" spans="1:254" ht="30" customHeight="1" x14ac:dyDescent="0.2">
      <c r="A18" s="39" t="s">
        <v>36</v>
      </c>
      <c r="B18" s="40">
        <v>102</v>
      </c>
      <c r="C18" s="41" t="s">
        <v>37</v>
      </c>
      <c r="D18" s="40">
        <v>23</v>
      </c>
      <c r="E18" s="42" t="s">
        <v>173</v>
      </c>
      <c r="F18" s="42" t="s">
        <v>171</v>
      </c>
      <c r="G18" s="42" t="s">
        <v>171</v>
      </c>
      <c r="H18" s="42"/>
      <c r="I18" s="42"/>
      <c r="J18" s="43">
        <f t="shared" si="2"/>
        <v>-4</v>
      </c>
      <c r="K18" s="43">
        <f t="shared" si="2"/>
        <v>-6</v>
      </c>
      <c r="L18" s="43">
        <f t="shared" si="2"/>
        <v>-6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Назаренко Олег Михайлович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Лодыгин Владимир Вадимович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4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6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6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4</v>
      </c>
      <c r="HP18" s="50" t="str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6</v>
      </c>
      <c r="HT18" s="53" t="str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6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4</v>
      </c>
      <c r="IJ18" s="56">
        <f>IF(F18="","",EY18*1)</f>
        <v>6</v>
      </c>
      <c r="IK18" s="56">
        <f>IF(G18="","",FI18*1)</f>
        <v>6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16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101</v>
      </c>
      <c r="C19" s="41" t="s">
        <v>34</v>
      </c>
      <c r="D19" s="59">
        <f>IF(D17=0,"",D17)</f>
        <v>22</v>
      </c>
      <c r="E19" s="42" t="s">
        <v>166</v>
      </c>
      <c r="F19" s="42" t="s">
        <v>153</v>
      </c>
      <c r="G19" s="42" t="s">
        <v>157</v>
      </c>
      <c r="H19" s="42"/>
      <c r="I19" s="42"/>
      <c r="J19" s="43">
        <f t="shared" si="2"/>
        <v>8</v>
      </c>
      <c r="K19" s="43">
        <f t="shared" si="2"/>
        <v>7</v>
      </c>
      <c r="L19" s="43">
        <f t="shared" si="2"/>
        <v>9</v>
      </c>
      <c r="M19" s="43" t="str">
        <f t="shared" si="2"/>
        <v/>
      </c>
      <c r="N19" s="43" t="str">
        <f t="shared" si="2"/>
        <v/>
      </c>
      <c r="O19" s="44">
        <f>IF(J19="","",IF(J19&gt;0,1,0))</f>
        <v>1</v>
      </c>
      <c r="P19" s="44">
        <f t="shared" si="0"/>
        <v>1</v>
      </c>
      <c r="Q19" s="44">
        <f t="shared" si="0"/>
        <v>1</v>
      </c>
      <c r="R19" s="44" t="str">
        <f t="shared" si="0"/>
        <v/>
      </c>
      <c r="S19" s="44" t="str">
        <f t="shared" si="0"/>
        <v/>
      </c>
      <c r="T19" s="45">
        <f t="shared" si="1"/>
        <v>0</v>
      </c>
      <c r="U19" s="45">
        <f t="shared" si="1"/>
        <v>0</v>
      </c>
      <c r="V19" s="45">
        <f t="shared" si="1"/>
        <v>0</v>
      </c>
      <c r="W19" s="45" t="str">
        <f t="shared" si="1"/>
        <v/>
      </c>
      <c r="X19" s="45" t="str">
        <f t="shared" si="1"/>
        <v/>
      </c>
      <c r="Y19" s="46">
        <f>IF(E19="","",SUM(O19:S19))</f>
        <v>3</v>
      </c>
      <c r="Z19" s="46">
        <f>IF(E19="","",SUM(T19:X19))</f>
        <v>0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Талалай Игорь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Банников Юрий Владимирович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11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8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7</v>
      </c>
      <c r="FF19" s="255"/>
      <c r="FG19" s="255"/>
      <c r="FH19" s="256"/>
      <c r="FI19" s="257">
        <f>IF(G19="","",IF(L19&gt;9,HY19,HW19))</f>
        <v>11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9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0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8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7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 t="str">
        <f>IF(G19="","",IF(L19=1000,11,IF(L19=-1000,0,IF(L19&lt;9,11,IF(L19&gt;9,(L19+2),"0")))))</f>
        <v>0</v>
      </c>
      <c r="HZ19" s="52">
        <f>IF(G19="","",IF(L19=1000,0,IF(L19=-1000,11,IF(L19&lt;0,11,IF(L19&gt;0,(L19),"0")))))</f>
        <v>9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11</v>
      </c>
      <c r="IJ19" s="56">
        <f>IF(F19="","",EY19*1)</f>
        <v>11</v>
      </c>
      <c r="IK19" s="56">
        <f>IF(G19="","",FI19*1)</f>
        <v>11</v>
      </c>
      <c r="IL19" s="56" t="str">
        <f>IF(H19="","",FS19*1)</f>
        <v/>
      </c>
      <c r="IM19" s="56" t="str">
        <f>IF(I19="","",GC19*1)</f>
        <v/>
      </c>
      <c r="IN19" s="57">
        <f>IF(E19="","",EU19*1)</f>
        <v>8</v>
      </c>
      <c r="IO19" s="57">
        <f>IF(F19="","",FE19*1)</f>
        <v>7</v>
      </c>
      <c r="IP19" s="57">
        <f>IF(G19="","",FO19*1)</f>
        <v>9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33</v>
      </c>
      <c r="IT19" s="58">
        <f>IF(E19="","",SUM(IN19:IR19))</f>
        <v>24</v>
      </c>
    </row>
    <row r="20" spans="1:254" ht="30" customHeight="1" thickBot="1" x14ac:dyDescent="0.4">
      <c r="A20" s="39" t="s">
        <v>18</v>
      </c>
      <c r="B20" s="59">
        <f>IF(B17=0,"",B17)</f>
        <v>105</v>
      </c>
      <c r="C20" s="41" t="s">
        <v>35</v>
      </c>
      <c r="D20" s="59">
        <f>IF(D16=0,"",D16)</f>
        <v>21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Тимофеев Александр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Павлина Сергей Станиславович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2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«Аэропорт - СШ №3»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5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107</v>
      </c>
      <c r="IT21" s="65">
        <f>IF(E16="","",SUM(IT16:IT20))</f>
        <v>145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17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«СШ №3(2)»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«Аэропорт - СШ №3»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102</v>
      </c>
      <c r="F57" s="481"/>
      <c r="G57" s="9"/>
      <c r="H57" s="480">
        <f>C2</f>
        <v>21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103</v>
      </c>
      <c r="F58" s="481"/>
      <c r="G58" s="9"/>
      <c r="H58" s="480">
        <f>C4</f>
        <v>23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106</v>
      </c>
      <c r="F59" s="481"/>
      <c r="G59" s="9"/>
      <c r="H59" s="480">
        <f>C7</f>
        <v>26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107</v>
      </c>
      <c r="F60" s="481"/>
      <c r="G60" s="9"/>
      <c r="H60" s="480">
        <f>C8</f>
        <v>27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108</v>
      </c>
      <c r="F61" s="481"/>
      <c r="G61" s="9"/>
      <c r="H61" s="480">
        <f>C9</f>
        <v>28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109</v>
      </c>
      <c r="F62" s="481"/>
      <c r="G62" s="9"/>
      <c r="H62" s="480">
        <f>1+H61</f>
        <v>29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110</v>
      </c>
      <c r="F63" s="481"/>
      <c r="G63" s="9"/>
      <c r="H63" s="480">
        <f>1+H62</f>
        <v>30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111</v>
      </c>
      <c r="F64" s="481"/>
      <c r="G64" s="9"/>
      <c r="H64" s="480">
        <f>1+H63</f>
        <v>31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112</v>
      </c>
      <c r="F65" s="481"/>
      <c r="G65" s="9"/>
      <c r="H65" s="480">
        <f>1+H64</f>
        <v>32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113</v>
      </c>
      <c r="F66" s="481"/>
      <c r="G66" s="9"/>
      <c r="H66" s="480">
        <f>1+H65</f>
        <v>33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92D050"/>
    <pageSetUpPr fitToPage="1"/>
  </sheetPr>
  <dimension ref="A1:IU102"/>
  <sheetViews>
    <sheetView topLeftCell="A3" zoomScale="60" zoomScaleNormal="6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«Рассвет» г.Симферополь</v>
      </c>
      <c r="B1" s="576"/>
      <c r="C1" s="577" t="str">
        <f>IF(D11="","",VLOOKUP(D11,Список!B:O,12,FALSE))</f>
        <v>«Спортшкола» г. Ялта</v>
      </c>
      <c r="D1" s="578"/>
      <c r="E1" s="579">
        <v>18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51</v>
      </c>
      <c r="B2" s="13" t="str">
        <f>IF(A2="","",VLOOKUP(A2,Список!E:O,2,FALSE))</f>
        <v xml:space="preserve"> Пикульский Никита Петрович</v>
      </c>
      <c r="C2" s="14">
        <f>IF($B$11="","",$D$11*10+1)</f>
        <v>71</v>
      </c>
      <c r="D2" s="15" t="str">
        <f>IF(C2="","",VLOOKUP(C2,Список!E:O,2,FALSE))</f>
        <v xml:space="preserve"> Маслий Дмитрий Владимирович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52</v>
      </c>
      <c r="B3" s="13" t="str">
        <f>IF(A3="","",VLOOKUP(A3,Список!E:O,2,FALSE))</f>
        <v xml:space="preserve"> Третьяков Олег Маратович</v>
      </c>
      <c r="C3" s="14">
        <f>IF($B$11="","",$D$11*10+2)</f>
        <v>72</v>
      </c>
      <c r="D3" s="15" t="str">
        <f>IF(C3="","",VLOOKUP(C3,Список!E:O,2,FALSE))</f>
        <v xml:space="preserve"> Худенко Александр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53</v>
      </c>
      <c r="B4" s="13" t="str">
        <f>IF(A4="","",VLOOKUP(A4,Список!E:O,2,FALSE))</f>
        <v xml:space="preserve"> Рехтин Андрей Павлович</v>
      </c>
      <c r="C4" s="14">
        <f>IF($B$11="","",$D$11*10+3)</f>
        <v>73</v>
      </c>
      <c r="D4" s="15" t="str">
        <f>IF(C4="","",VLOOKUP(C4,Список!E:O,2,FALSE))</f>
        <v xml:space="preserve"> Размысловский Павел Алексеевич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54</v>
      </c>
      <c r="B5" s="13" t="str">
        <f>IF(A5="","",VLOOKUP(A5,Список!E:O,2,FALSE))</f>
        <v xml:space="preserve"> Алёшкин Дмитрий Сергеевич</v>
      </c>
      <c r="C5" s="14">
        <f>IF($B$11="","",$D$11*10+4)</f>
        <v>74</v>
      </c>
      <c r="D5" s="15" t="str">
        <f>IF(C5="","",VLOOKUP(C5,Список!E:O,2,FALSE))</f>
        <v xml:space="preserve"> Иванов Константин Николаевич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55</v>
      </c>
      <c r="B6" s="13" t="str">
        <f>IF(A6="","",VLOOKUP(A6,Список!E:O,2,FALSE))</f>
        <v>-</v>
      </c>
      <c r="C6" s="14">
        <f>IF($B$11="","",$D$11*10+5)</f>
        <v>75</v>
      </c>
      <c r="D6" s="15" t="str">
        <f>IF(C6="","",VLOOKUP(C6,Список!E:O,2,FALSE))</f>
        <v xml:space="preserve"> Поляков Дмитрий Игоревич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56</v>
      </c>
      <c r="B7" s="13" t="str">
        <f>IF(A7="","",VLOOKUP(A7,Список!E:O,2,FALSE))</f>
        <v>-</v>
      </c>
      <c r="C7" s="14">
        <f>IF($B$11="","",$D$11*10+6)</f>
        <v>76</v>
      </c>
      <c r="D7" s="15" t="str">
        <f>IF(C7="","",VLOOKUP(C7,Список!E:O,2,FALSE))</f>
        <v xml:space="preserve"> Гузенко Глеб Русланович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57</v>
      </c>
      <c r="B8" s="13" t="str">
        <f>IF(A8="","",VLOOKUP(A8,Список!E:O,2,FALSE))</f>
        <v>-</v>
      </c>
      <c r="C8" s="14">
        <f>IF($B$11="","",$D$11*10+7)</f>
        <v>77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«Спортшкола» г. 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«Рассвет»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58</v>
      </c>
      <c r="B9" s="13" t="str">
        <f>IF(A9="","",VLOOKUP(A9,Список!E:O,2,FALSE))</f>
        <v>-</v>
      </c>
      <c r="C9" s="14">
        <f>IF($B$11="","",$D$11*10+8)</f>
        <v>78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5</v>
      </c>
      <c r="C11" s="27" t="s">
        <v>18</v>
      </c>
      <c r="D11" s="29">
        <f>IF(B11="","",IF(B11=A13,C13,IF(B11=C13,A13,)))</f>
        <v>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«Рассвет»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«Спортшкола» г. 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50</v>
      </c>
      <c r="D12" s="25">
        <f>IF(B11="","",D11*10)</f>
        <v>70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7</v>
      </c>
      <c r="B13" s="566"/>
      <c r="C13" s="565">
        <f>IF($E$1="","",VLOOKUP($E$1,'Общее расписание'!$B:$V,3,FALSE))</f>
        <v>5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">
        <v>122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4, встреча 18, 7 - 5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18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74</v>
      </c>
      <c r="C16" s="41" t="s">
        <v>35</v>
      </c>
      <c r="D16" s="40">
        <v>51</v>
      </c>
      <c r="E16" s="42"/>
      <c r="F16" s="42"/>
      <c r="G16" s="42"/>
      <c r="H16" s="42"/>
      <c r="I16" s="42"/>
      <c r="J16" s="43" t="str">
        <f>IF(E16="","",IF(E16="0",1000,IF(E16="-0",-1000,E16*1)))</f>
        <v/>
      </c>
      <c r="K16" s="43" t="str">
        <f>IF(F16="","",IF(F16="0",1000,IF(F16="-0",-1000,F16*1)))</f>
        <v/>
      </c>
      <c r="L16" s="43" t="str">
        <f>IF(G16="","",IF(G16="0",1000,IF(G16="-0",-1000,G16*1)))</f>
        <v/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 t="str">
        <f>IF(J16="","",IF(J16&gt;0,1,0))</f>
        <v/>
      </c>
      <c r="P16" s="44" t="str">
        <f t="shared" ref="P16:S20" si="0">IF(K16="","",IF(K16&gt;0,1,0))</f>
        <v/>
      </c>
      <c r="Q16" s="44" t="str">
        <f t="shared" si="0"/>
        <v/>
      </c>
      <c r="R16" s="44" t="str">
        <f t="shared" si="0"/>
        <v/>
      </c>
      <c r="S16" s="44" t="str">
        <f t="shared" si="0"/>
        <v/>
      </c>
      <c r="T16" s="45" t="str">
        <f t="shared" ref="T16:X20" si="1">IF(J16="","",IF(J16&lt;0,1,0))</f>
        <v/>
      </c>
      <c r="U16" s="45" t="str">
        <f t="shared" si="1"/>
        <v/>
      </c>
      <c r="V16" s="45" t="str">
        <f t="shared" si="1"/>
        <v/>
      </c>
      <c r="W16" s="45" t="str">
        <f t="shared" si="1"/>
        <v/>
      </c>
      <c r="X16" s="45" t="str">
        <f t="shared" si="1"/>
        <v/>
      </c>
      <c r="Y16" s="46" t="str">
        <f>IF(E16="","",SUM(O16:S16))</f>
        <v/>
      </c>
      <c r="Z16" s="46" t="str">
        <f>IF(E16="","",SUM(T16:X16))</f>
        <v/>
      </c>
      <c r="AA16" s="47" t="str">
        <f>IF(E16="","",IF(Y16&gt;Z16,1,0))</f>
        <v/>
      </c>
      <c r="AB16" s="48" t="str">
        <f>IF(E16="","",IF(Y16&lt;Z16,1,0))</f>
        <v/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Иванов Константин Николаевич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Пикульский Никита Петрович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 t="str">
        <f>IF(E16="","",IF(J16&gt;9,HQ16,HO16))</f>
        <v/>
      </c>
      <c r="EP16" s="320"/>
      <c r="EQ16" s="320"/>
      <c r="ER16" s="320"/>
      <c r="ES16" s="314" t="str">
        <f>IF(EO16="","","-")</f>
        <v/>
      </c>
      <c r="ET16" s="314"/>
      <c r="EU16" s="320" t="str">
        <f>IF(E16="","",IF(J16&lt;-9,HP16,HR16))</f>
        <v/>
      </c>
      <c r="EV16" s="320"/>
      <c r="EW16" s="320"/>
      <c r="EX16" s="321"/>
      <c r="EY16" s="322" t="str">
        <f>IF(F16="","",IF(K16&gt;9,HU16,HS16))</f>
        <v/>
      </c>
      <c r="EZ16" s="320"/>
      <c r="FA16" s="320"/>
      <c r="FB16" s="320"/>
      <c r="FC16" s="323" t="str">
        <f>IF(EY16="","","-")</f>
        <v/>
      </c>
      <c r="FD16" s="323"/>
      <c r="FE16" s="320" t="str">
        <f>IF(F16="","",IF(K16&lt;-9,HT16,HV16))</f>
        <v/>
      </c>
      <c r="FF16" s="320"/>
      <c r="FG16" s="320"/>
      <c r="FH16" s="321"/>
      <c r="FI16" s="322" t="str">
        <f>IF(G16="","",IF(L16&gt;9,HY16,HW16))</f>
        <v/>
      </c>
      <c r="FJ16" s="320"/>
      <c r="FK16" s="320"/>
      <c r="FL16" s="320"/>
      <c r="FM16" s="323" t="str">
        <f>IF(FI16="","","-")</f>
        <v/>
      </c>
      <c r="FN16" s="323"/>
      <c r="FO16" s="320" t="str">
        <f>IF(G16="","",IF(L16&lt;-9,HX16,HZ16))</f>
        <v/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 t="str">
        <f>Y16</f>
        <v/>
      </c>
      <c r="GN16" s="310"/>
      <c r="GO16" s="310"/>
      <c r="GP16" s="310"/>
      <c r="GQ16" s="310"/>
      <c r="GR16" s="310"/>
      <c r="GS16" s="311"/>
      <c r="GT16" s="312" t="str">
        <f>Z16</f>
        <v/>
      </c>
      <c r="GU16" s="310"/>
      <c r="GV16" s="310"/>
      <c r="GW16" s="310"/>
      <c r="GX16" s="310"/>
      <c r="GY16" s="310"/>
      <c r="GZ16" s="313"/>
      <c r="HA16" s="315" t="str">
        <f>AA16</f>
        <v/>
      </c>
      <c r="HB16" s="316"/>
      <c r="HC16" s="316"/>
      <c r="HD16" s="316"/>
      <c r="HE16" s="316"/>
      <c r="HF16" s="316"/>
      <c r="HG16" s="317"/>
      <c r="HH16" s="318" t="str">
        <f>AB16</f>
        <v/>
      </c>
      <c r="HI16" s="316"/>
      <c r="HJ16" s="316"/>
      <c r="HK16" s="316"/>
      <c r="HL16" s="316"/>
      <c r="HM16" s="316"/>
      <c r="HN16" s="319"/>
      <c r="HO16" s="49" t="str">
        <f>IF(E16="","",IF(J16=1000,11,IF(J16=-1000,0,IF(J16&gt;0,11,IF(J16&lt;0,(-J16),"0")))))</f>
        <v/>
      </c>
      <c r="HP16" s="50" t="str">
        <f>IF(E16="","",IF(J16=1000,0,IF(J16=-1000,11,IF(J16&lt;-9,-(J16-2),IF(J16&gt;0,(GU16),"0")))))</f>
        <v/>
      </c>
      <c r="HQ16" s="51" t="str">
        <f>IF(E16="","",IF(J16=1000,11,IF(J16=-1000,0,IF(J16&lt;9,11,IF(J16&gt;9,(J16+2),"0")))))</f>
        <v/>
      </c>
      <c r="HR16" s="52" t="str">
        <f>IF(E16="","",IF(J16=1000,0,IF(J16=-1000,11,IF(J16&lt;0,11,IF(J16&gt;0,(J16),"0")))))</f>
        <v/>
      </c>
      <c r="HS16" s="53" t="str">
        <f>IF(F16="","",IF(K16=1000,11,IF(K16=-1000,0,IF(K16&gt;0,11,IF(K16&lt;0,(-K16),"0")))))</f>
        <v/>
      </c>
      <c r="HT16" s="53" t="str">
        <f>IF(F16="","",IF(K16=1000,0,IF(K16=-1000,11,IF(K16&lt;-9,-(K16-2),IF(K16&gt;0,(GV16),"0")))))</f>
        <v/>
      </c>
      <c r="HU16" s="54" t="str">
        <f>IF(F16="","",IF(K16=1000,11,IF(K16=-1000,0,IF(K16&lt;9,11,IF(K16&gt;9,(K16+2),"0")))))</f>
        <v/>
      </c>
      <c r="HV16" s="54" t="str">
        <f>IF(F16="","",IF(K16=1000,0,IF(K16=-1000,11,IF(K16&lt;0,11,IF(K16&gt;0,(K16),"0")))))</f>
        <v/>
      </c>
      <c r="HW16" s="49" t="str">
        <f>IF(G16="","",IF(L16=1000,11,IF(L16=-1000,0,IF(L16&gt;0,11,IF(L16&lt;0,(-L16),"0")))))</f>
        <v/>
      </c>
      <c r="HX16" s="50" t="str">
        <f>IF(G16="","",IF(L16=1000,0,IF(L16=-1000,11,IF(L16&lt;-9,-(L16-2),IF(L16&gt;0,(GW16),"0")))))</f>
        <v/>
      </c>
      <c r="HY16" s="51" t="str">
        <f>IF(G16="","",IF(L16=1000,11,IF(L16=-1000,0,IF(L16&lt;9,11,IF(L16&gt;9,(L16+2),"0")))))</f>
        <v/>
      </c>
      <c r="HZ16" s="52" t="str">
        <f>IF(G16="","",IF(L16=1000,0,IF(L16=-1000,11,IF(L16&lt;0,11,IF(L16&gt;0,(L16),"0")))))</f>
        <v/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 t="str">
        <f>IF(E16="","",EO16*1)</f>
        <v/>
      </c>
      <c r="IJ16" s="56" t="str">
        <f>IF(F16="","",EY16*1)</f>
        <v/>
      </c>
      <c r="IK16" s="56" t="str">
        <f>IF(G16="","",FI16*1)</f>
        <v/>
      </c>
      <c r="IL16" s="56" t="str">
        <f>IF(H16="","",FS16*1)</f>
        <v/>
      </c>
      <c r="IM16" s="56" t="str">
        <f>IF(I16="","",GC16*1)</f>
        <v/>
      </c>
      <c r="IN16" s="57" t="str">
        <f>IF(E16="","",EU16*1)</f>
        <v/>
      </c>
      <c r="IO16" s="57" t="str">
        <f>IF(F16="","",FE16*1)</f>
        <v/>
      </c>
      <c r="IP16" s="57" t="str">
        <f>IF(G16="","",FO16*1)</f>
        <v/>
      </c>
      <c r="IQ16" s="57" t="str">
        <f>IF(H16="","",FY16*1)</f>
        <v/>
      </c>
      <c r="IR16" s="57" t="str">
        <f>IF(I16="","",GI16*1)</f>
        <v/>
      </c>
      <c r="IS16" s="58" t="str">
        <f>IF(E16="","",SUM(II16:IM16))</f>
        <v/>
      </c>
      <c r="IT16" s="58" t="str">
        <f>IF(E16="","",SUM(IN16:IR16))</f>
        <v/>
      </c>
    </row>
    <row r="17" spans="1:254" ht="30" customHeight="1" x14ac:dyDescent="0.35">
      <c r="A17" s="39" t="s">
        <v>18</v>
      </c>
      <c r="B17" s="40">
        <v>72</v>
      </c>
      <c r="C17" s="41" t="s">
        <v>34</v>
      </c>
      <c r="D17" s="40">
        <v>52</v>
      </c>
      <c r="E17" s="42"/>
      <c r="F17" s="42"/>
      <c r="G17" s="42"/>
      <c r="H17" s="42"/>
      <c r="I17" s="42"/>
      <c r="J17" s="43" t="str">
        <f t="shared" ref="J17:N20" si="2">IF(E17="","",IF(E17="0",1000,IF(E17="-0",-1000,E17*1)))</f>
        <v/>
      </c>
      <c r="K17" s="43" t="str">
        <f t="shared" si="2"/>
        <v/>
      </c>
      <c r="L17" s="43" t="str">
        <f t="shared" si="2"/>
        <v/>
      </c>
      <c r="M17" s="43" t="str">
        <f t="shared" si="2"/>
        <v/>
      </c>
      <c r="N17" s="43" t="str">
        <f t="shared" si="2"/>
        <v/>
      </c>
      <c r="O17" s="44" t="str">
        <f>IF(J17="","",IF(J17&gt;0,1,0))</f>
        <v/>
      </c>
      <c r="P17" s="44" t="str">
        <f t="shared" si="0"/>
        <v/>
      </c>
      <c r="Q17" s="44" t="str">
        <f t="shared" si="0"/>
        <v/>
      </c>
      <c r="R17" s="44" t="str">
        <f t="shared" si="0"/>
        <v/>
      </c>
      <c r="S17" s="44" t="str">
        <f t="shared" si="0"/>
        <v/>
      </c>
      <c r="T17" s="45" t="str">
        <f t="shared" si="1"/>
        <v/>
      </c>
      <c r="U17" s="45" t="str">
        <f t="shared" si="1"/>
        <v/>
      </c>
      <c r="V17" s="45" t="str">
        <f t="shared" si="1"/>
        <v/>
      </c>
      <c r="W17" s="45" t="str">
        <f t="shared" si="1"/>
        <v/>
      </c>
      <c r="X17" s="45" t="str">
        <f t="shared" si="1"/>
        <v/>
      </c>
      <c r="Y17" s="46" t="str">
        <f>IF(E17="","",SUM(O17:S17))</f>
        <v/>
      </c>
      <c r="Z17" s="46" t="str">
        <f>IF(E17="","",SUM(T17:X17))</f>
        <v/>
      </c>
      <c r="AA17" s="47" t="str">
        <f>IF(E17="","",IF(Y17&gt;Z17,1,0))</f>
        <v/>
      </c>
      <c r="AB17" s="48" t="str">
        <f>IF(E17="","",IF(Y17&lt;Z17,1,0))</f>
        <v/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Худенко Александр Сергеевич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Третьяков Олег Маратович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 t="str">
        <f>IF(E17="","",IF(J17&gt;9,HQ17,HO17))</f>
        <v/>
      </c>
      <c r="EP17" s="255"/>
      <c r="EQ17" s="255"/>
      <c r="ER17" s="255"/>
      <c r="ES17" s="297" t="str">
        <f>IF(EO17="","","-")</f>
        <v/>
      </c>
      <c r="ET17" s="297"/>
      <c r="EU17" s="255" t="str">
        <f>IF(E17="","",IF(J17&lt;-9,HP17,HR17))</f>
        <v/>
      </c>
      <c r="EV17" s="255"/>
      <c r="EW17" s="255"/>
      <c r="EX17" s="256"/>
      <c r="EY17" s="257" t="str">
        <f>IF(F17="","",IF(K17&gt;9,HU17,HS17))</f>
        <v/>
      </c>
      <c r="EZ17" s="255"/>
      <c r="FA17" s="255"/>
      <c r="FB17" s="255"/>
      <c r="FC17" s="254" t="str">
        <f>IF(EY17="","","-")</f>
        <v/>
      </c>
      <c r="FD17" s="254"/>
      <c r="FE17" s="255" t="str">
        <f>IF(F17="","",IF(K17&lt;-9,HT17,HV17))</f>
        <v/>
      </c>
      <c r="FF17" s="255"/>
      <c r="FG17" s="255"/>
      <c r="FH17" s="256"/>
      <c r="FI17" s="257" t="str">
        <f>IF(G17="","",IF(L17&gt;9,HY17,HW17))</f>
        <v/>
      </c>
      <c r="FJ17" s="255"/>
      <c r="FK17" s="255"/>
      <c r="FL17" s="255"/>
      <c r="FM17" s="254" t="str">
        <f>IF(FI17="","","-")</f>
        <v/>
      </c>
      <c r="FN17" s="254"/>
      <c r="FO17" s="255" t="str">
        <f>IF(G17="","",IF(L17&lt;-9,HX17,HZ17))</f>
        <v/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 t="str">
        <f>Y17</f>
        <v/>
      </c>
      <c r="GN17" s="247"/>
      <c r="GO17" s="247"/>
      <c r="GP17" s="247"/>
      <c r="GQ17" s="247"/>
      <c r="GR17" s="247"/>
      <c r="GS17" s="304"/>
      <c r="GT17" s="246" t="str">
        <f>Z17</f>
        <v/>
      </c>
      <c r="GU17" s="247"/>
      <c r="GV17" s="247"/>
      <c r="GW17" s="247"/>
      <c r="GX17" s="247"/>
      <c r="GY17" s="247"/>
      <c r="GZ17" s="248"/>
      <c r="HA17" s="249" t="str">
        <f>AA17</f>
        <v/>
      </c>
      <c r="HB17" s="250"/>
      <c r="HC17" s="250"/>
      <c r="HD17" s="250"/>
      <c r="HE17" s="250"/>
      <c r="HF17" s="250"/>
      <c r="HG17" s="251"/>
      <c r="HH17" s="252" t="str">
        <f>AB17</f>
        <v/>
      </c>
      <c r="HI17" s="250"/>
      <c r="HJ17" s="250"/>
      <c r="HK17" s="250"/>
      <c r="HL17" s="250"/>
      <c r="HM17" s="250"/>
      <c r="HN17" s="253"/>
      <c r="HO17" s="49" t="str">
        <f>IF(E17="","",IF(J17=1000,11,IF(J17=-1000,0,IF(J17&gt;0,11,IF(J17&lt;0,(-J17),"0")))))</f>
        <v/>
      </c>
      <c r="HP17" s="50" t="str">
        <f>IF(E17="","",IF(J17=1000,0,IF(J17=-1000,11,IF(J17&lt;-9,-(J17-2),IF(J17&gt;0,(GU17),"0")))))</f>
        <v/>
      </c>
      <c r="HQ17" s="51" t="str">
        <f>IF(E17="","",IF(J17=1000,11,IF(J17=-1000,0,IF(J17&lt;9,11,IF(J17&gt;9,(J17+2),"0")))))</f>
        <v/>
      </c>
      <c r="HR17" s="52" t="str">
        <f>IF(E17="","",IF(J17=1000,0,IF(J17=-1000,11,IF(J17&lt;0,11,IF(J17&gt;0,(J17),"0")))))</f>
        <v/>
      </c>
      <c r="HS17" s="53" t="str">
        <f>IF(F17="","",IF(K17=1000,11,IF(K17=-1000,0,IF(K17&gt;0,11,IF(K17&lt;0,(-K17),"0")))))</f>
        <v/>
      </c>
      <c r="HT17" s="53" t="str">
        <f>IF(F17="","",IF(K17=1000,0,IF(K17=-1000,11,IF(K17&lt;-9,-(K17-2),IF(K17&gt;0,(GV17),"0")))))</f>
        <v/>
      </c>
      <c r="HU17" s="54" t="str">
        <f>IF(F17="","",IF(K17=1000,11,IF(K17=-1000,0,IF(K17&lt;9,11,IF(K17&gt;9,(K17+2),"0")))))</f>
        <v/>
      </c>
      <c r="HV17" s="54" t="str">
        <f>IF(F17="","",IF(K17=1000,0,IF(K17=-1000,11,IF(K17&lt;0,11,IF(K17&gt;0,(K17),"0")))))</f>
        <v/>
      </c>
      <c r="HW17" s="49" t="str">
        <f>IF(G17="","",IF(L17=1000,11,IF(L17=-1000,0,IF(L17&gt;0,11,IF(L17&lt;0,(-L17),"0")))))</f>
        <v/>
      </c>
      <c r="HX17" s="50" t="str">
        <f>IF(G17="","",IF(L17=1000,0,IF(L17=-1000,11,IF(L17&lt;-9,-(L17-2),IF(L17&gt;0,(GW17),"0")))))</f>
        <v/>
      </c>
      <c r="HY17" s="51" t="str">
        <f>IF(G17="","",IF(L17=1000,11,IF(L17=-1000,0,IF(L17&lt;9,11,IF(L17&gt;9,(L17+2),"0")))))</f>
        <v/>
      </c>
      <c r="HZ17" s="52" t="str">
        <f>IF(G17="","",IF(L17=1000,0,IF(L17=-1000,11,IF(L17&lt;0,11,IF(L17&gt;0,(L17),"0")))))</f>
        <v/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 t="str">
        <f>IF(E17="","",EO17*1)</f>
        <v/>
      </c>
      <c r="IJ17" s="56" t="str">
        <f>IF(F17="","",EY17*1)</f>
        <v/>
      </c>
      <c r="IK17" s="56" t="str">
        <f>IF(G17="","",FI17*1)</f>
        <v/>
      </c>
      <c r="IL17" s="56" t="str">
        <f>IF(H17="","",FS17*1)</f>
        <v/>
      </c>
      <c r="IM17" s="56" t="str">
        <f>IF(I17="","",GC17*1)</f>
        <v/>
      </c>
      <c r="IN17" s="57" t="str">
        <f>IF(E17="","",EU17*1)</f>
        <v/>
      </c>
      <c r="IO17" s="57" t="str">
        <f>IF(F17="","",FE17*1)</f>
        <v/>
      </c>
      <c r="IP17" s="57" t="str">
        <f>IF(G17="","",FO17*1)</f>
        <v/>
      </c>
      <c r="IQ17" s="57" t="str">
        <f>IF(H17="","",FY17*1)</f>
        <v/>
      </c>
      <c r="IR17" s="57" t="str">
        <f>IF(I17="","",GI17*1)</f>
        <v/>
      </c>
      <c r="IS17" s="58" t="str">
        <f>IF(E17="","",SUM(II17:IM17))</f>
        <v/>
      </c>
      <c r="IT17" s="58" t="str">
        <f>IF(E17="","",SUM(IN17:IR17))</f>
        <v/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54</v>
      </c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Алёшкин Дмитрий Сергеевич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74</v>
      </c>
      <c r="C19" s="41" t="s">
        <v>34</v>
      </c>
      <c r="D19" s="59">
        <f>IF(D17=0,"",D17)</f>
        <v>52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Иванов Константин Николаевич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Третьяков Олег Маратович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72</v>
      </c>
      <c r="C20" s="41" t="s">
        <v>35</v>
      </c>
      <c r="D20" s="59">
        <f>IF(D16=0,"",D16)</f>
        <v>51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Худенко Александр Сергеевич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Пикульский Никита Петрович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 t="str">
        <f>IF(E16="","",SUM(GM16:GS20))</f>
        <v/>
      </c>
      <c r="GN21" s="222"/>
      <c r="GO21" s="222"/>
      <c r="GP21" s="222"/>
      <c r="GQ21" s="222"/>
      <c r="GR21" s="222"/>
      <c r="GS21" s="223"/>
      <c r="GT21" s="224" t="str">
        <f>IF(E16="","",SUM(GT16:GZ20))</f>
        <v/>
      </c>
      <c r="GU21" s="225"/>
      <c r="GV21" s="225"/>
      <c r="GW21" s="225"/>
      <c r="GX21" s="225"/>
      <c r="GY21" s="225"/>
      <c r="GZ21" s="226"/>
      <c r="HA21" s="227" t="str">
        <f>IF(E16="","",SUM(HA16:HG20))</f>
        <v/>
      </c>
      <c r="HB21" s="228"/>
      <c r="HC21" s="228"/>
      <c r="HD21" s="228"/>
      <c r="HE21" s="228"/>
      <c r="HF21" s="228"/>
      <c r="HG21" s="229"/>
      <c r="HH21" s="230" t="str">
        <f>IF(E16="","",SUM(HH16:HN20))</f>
        <v/>
      </c>
      <c r="HI21" s="228"/>
      <c r="HJ21" s="228"/>
      <c r="HK21" s="228"/>
      <c r="HL21" s="228"/>
      <c r="HM21" s="228"/>
      <c r="HN21" s="231"/>
      <c r="IS21" s="64" t="str">
        <f>IF(E16="","",SUM(IS16:IS20))</f>
        <v/>
      </c>
      <c r="IT21" s="65" t="str">
        <f>IF(E16="","",SUM(IT16:IT20))</f>
        <v/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18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«Рассвет»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«Спортшкола» г. 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52</v>
      </c>
      <c r="F57" s="481"/>
      <c r="G57" s="9"/>
      <c r="H57" s="480">
        <f>C2</f>
        <v>71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110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53</v>
      </c>
      <c r="F58" s="481"/>
      <c r="G58" s="9"/>
      <c r="H58" s="480">
        <f>C4</f>
        <v>73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105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56</v>
      </c>
      <c r="F59" s="481"/>
      <c r="G59" s="9"/>
      <c r="H59" s="480">
        <f>C7</f>
        <v>76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57</v>
      </c>
      <c r="F60" s="481"/>
      <c r="G60" s="9"/>
      <c r="H60" s="480">
        <f>C8</f>
        <v>77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58</v>
      </c>
      <c r="F61" s="481"/>
      <c r="G61" s="9"/>
      <c r="H61" s="480">
        <f>C9</f>
        <v>78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59</v>
      </c>
      <c r="F62" s="481"/>
      <c r="G62" s="9"/>
      <c r="H62" s="480">
        <f>1+H61</f>
        <v>79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60</v>
      </c>
      <c r="F63" s="481"/>
      <c r="G63" s="9"/>
      <c r="H63" s="480">
        <f>1+H62</f>
        <v>80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61</v>
      </c>
      <c r="F64" s="481"/>
      <c r="G64" s="9"/>
      <c r="H64" s="480">
        <f>1+H63</f>
        <v>81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62</v>
      </c>
      <c r="F65" s="481"/>
      <c r="G65" s="9"/>
      <c r="H65" s="480">
        <f>1+H64</f>
        <v>82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63</v>
      </c>
      <c r="F66" s="481"/>
      <c r="G66" s="9"/>
      <c r="H66" s="480">
        <f>1+H65</f>
        <v>83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92D050"/>
    <pageSetUpPr fitToPage="1"/>
  </sheetPr>
  <dimension ref="A1:IU102"/>
  <sheetViews>
    <sheetView topLeftCell="E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"Спортшкола - Юноши" г.Ялта</v>
      </c>
      <c r="B1" s="576"/>
      <c r="C1" s="577" t="str">
        <f>IF(D11="","",VLOOKUP(D11,Список!B:O,12,FALSE))</f>
        <v>«Интер»  г.Евпатория</v>
      </c>
      <c r="D1" s="578"/>
      <c r="E1" s="579">
        <v>19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91</v>
      </c>
      <c r="B2" s="13" t="str">
        <f>IF(A2="","",VLOOKUP(A2,Список!E:O,2,FALSE))</f>
        <v xml:space="preserve"> Бородин Илья Николаевич</v>
      </c>
      <c r="C2" s="14">
        <f>IF($B$11="","",$D$11*10+1)</f>
        <v>31</v>
      </c>
      <c r="D2" s="15" t="str">
        <f>IF(C2="","",VLOOKUP(C2,Список!E:O,2,FALSE))</f>
        <v xml:space="preserve"> Сорбало Владислав Федорович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92</v>
      </c>
      <c r="B3" s="13" t="str">
        <f>IF(A3="","",VLOOKUP(A3,Список!E:O,2,FALSE))</f>
        <v xml:space="preserve"> Чекалов Никита Геннадьевич</v>
      </c>
      <c r="C3" s="14">
        <f>IF($B$11="","",$D$11*10+2)</f>
        <v>32</v>
      </c>
      <c r="D3" s="15" t="str">
        <f>IF(C3="","",VLOOKUP(C3,Список!E:O,2,FALSE))</f>
        <v xml:space="preserve"> Каулик Алексей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93</v>
      </c>
      <c r="B4" s="13" t="str">
        <f>IF(A4="","",VLOOKUP(A4,Список!E:O,2,FALSE))</f>
        <v xml:space="preserve"> Груздов Дарион Сергеевич</v>
      </c>
      <c r="C4" s="14">
        <f>IF($B$11="","",$D$11*10+3)</f>
        <v>33</v>
      </c>
      <c r="D4" s="15" t="str">
        <f>IF(C4="","",VLOOKUP(C4,Список!E:O,2,FALSE))</f>
        <v xml:space="preserve"> Скрипин Василий Иванович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94</v>
      </c>
      <c r="B5" s="13" t="str">
        <f>IF(A5="","",VLOOKUP(A5,Список!E:O,2,FALSE))</f>
        <v xml:space="preserve"> Чекалов Дмитрий Геннадьевич</v>
      </c>
      <c r="C5" s="14">
        <f>IF($B$11="","",$D$11*10+4)</f>
        <v>34</v>
      </c>
      <c r="D5" s="15" t="str">
        <f>IF(C5="","",VLOOKUP(C5,Список!E:O,2,FALSE))</f>
        <v xml:space="preserve"> Сыч Станислав Викторович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95</v>
      </c>
      <c r="B6" s="13" t="str">
        <f>IF(A6="","",VLOOKUP(A6,Список!E:O,2,FALSE))</f>
        <v xml:space="preserve"> Михайленко Кирилл Вадимович</v>
      </c>
      <c r="C6" s="14">
        <f>IF($B$11="","",$D$11*10+5)</f>
        <v>35</v>
      </c>
      <c r="D6" s="15" t="str">
        <f>IF(C6="","",VLOOKUP(C6,Список!E:O,2,FALSE))</f>
        <v xml:space="preserve"> Марусич Дмитрий Олегович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96</v>
      </c>
      <c r="B7" s="13" t="str">
        <f>IF(A7="","",VLOOKUP(A7,Список!E:O,2,FALSE))</f>
        <v xml:space="preserve"> Груздов Даниэль Сергеевич</v>
      </c>
      <c r="C7" s="14">
        <f>IF($B$11="","",$D$11*10+6)</f>
        <v>36</v>
      </c>
      <c r="D7" s="15" t="str">
        <f>IF(C7="","",VLOOKUP(C7,Список!E:O,2,FALSE))</f>
        <v xml:space="preserve"> Кафиев Артур Рафаилович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97</v>
      </c>
      <c r="B8" s="13" t="str">
        <f>IF(A8="","",VLOOKUP(A8,Список!E:O,2,FALSE))</f>
        <v>-</v>
      </c>
      <c r="C8" s="14">
        <f>IF($B$11="","",$D$11*10+7)</f>
        <v>37</v>
      </c>
      <c r="D8" s="15" t="str">
        <f>IF(C8="","",VLOOKUP(C8,Список!E:O,2,FALSE))</f>
        <v xml:space="preserve"> Калинин Илья Валерьевич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"Спортшкола - Юноши" г.Ялта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«Интер»  г.Евпатория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98</v>
      </c>
      <c r="B9" s="13" t="str">
        <f>IF(A9="","",VLOOKUP(A9,Список!E:O,2,FALSE))</f>
        <v>-</v>
      </c>
      <c r="C9" s="14">
        <f>IF($B$11="","",$D$11*10+8)</f>
        <v>38</v>
      </c>
      <c r="D9" s="15" t="str">
        <f>IF(C9="","",VLOOKUP(C9,Список!E:O,2,FALSE))</f>
        <v xml:space="preserve"> Скрипин Иван Васильевич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9</v>
      </c>
      <c r="C11" s="27" t="s">
        <v>18</v>
      </c>
      <c r="D11" s="29">
        <f>IF(B11="","",IF(B11=A13,C13,IF(B11=C13,A13,)))</f>
        <v>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"Спортшкола - Юноши" г.Ялта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«Интер»  г.Евпатория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90</v>
      </c>
      <c r="D12" s="25">
        <f>IF(B11="","",D11*10)</f>
        <v>30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9</v>
      </c>
      <c r="B13" s="566"/>
      <c r="C13" s="565">
        <f>IF($E$1="","",VLOOKUP($E$1,'Общее расписание'!$B:$V,3,FALSE))</f>
        <v>3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Прима В.А.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Хилик К.А., Скрипин В.И.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4, встреча 19, 9 - 3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19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92</v>
      </c>
      <c r="C16" s="41" t="s">
        <v>35</v>
      </c>
      <c r="D16" s="40">
        <v>31</v>
      </c>
      <c r="E16" s="42" t="s">
        <v>174</v>
      </c>
      <c r="F16" s="42" t="s">
        <v>163</v>
      </c>
      <c r="G16" s="42" t="s">
        <v>173</v>
      </c>
      <c r="H16" s="42"/>
      <c r="I16" s="42"/>
      <c r="J16" s="43">
        <f>IF(E16="","",IF(E16="0",1000,IF(E16="-0",-1000,E16*1)))</f>
        <v>-3</v>
      </c>
      <c r="K16" s="43">
        <f>IF(F16="","",IF(F16="0",1000,IF(F16="-0",-1000,F16*1)))</f>
        <v>-2</v>
      </c>
      <c r="L16" s="43">
        <f>IF(G16="","",IF(G16="0",1000,IF(G16="-0",-1000,G16*1)))</f>
        <v>-4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Чекалов Никита Геннадьевич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Сорбало Владислав Федорович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3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2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4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3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2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4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3</v>
      </c>
      <c r="IJ16" s="56">
        <f>IF(F16="","",EY16*1)</f>
        <v>2</v>
      </c>
      <c r="IK16" s="56">
        <f>IF(G16="","",FI16*1)</f>
        <v>4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9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95</v>
      </c>
      <c r="C17" s="41" t="s">
        <v>34</v>
      </c>
      <c r="D17" s="40">
        <v>32</v>
      </c>
      <c r="E17" s="42" t="s">
        <v>172</v>
      </c>
      <c r="F17" s="42" t="s">
        <v>169</v>
      </c>
      <c r="G17" s="42" t="s">
        <v>171</v>
      </c>
      <c r="H17" s="42"/>
      <c r="I17" s="42"/>
      <c r="J17" s="43">
        <f t="shared" ref="J17:N20" si="2">IF(E17="","",IF(E17="0",1000,IF(E17="-0",-1000,E17*1)))</f>
        <v>-5</v>
      </c>
      <c r="K17" s="43">
        <f t="shared" si="2"/>
        <v>-8</v>
      </c>
      <c r="L17" s="43">
        <f t="shared" si="2"/>
        <v>-6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Михайленко Кирилл Вадимович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Каулик Алексей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5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8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6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5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8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6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5</v>
      </c>
      <c r="IJ17" s="56">
        <f>IF(F17="","",EY17*1)</f>
        <v>8</v>
      </c>
      <c r="IK17" s="56">
        <f>IF(G17="","",FI17*1)</f>
        <v>6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19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94</v>
      </c>
      <c r="C18" s="41" t="s">
        <v>37</v>
      </c>
      <c r="D18" s="40">
        <v>36</v>
      </c>
      <c r="E18" s="42" t="s">
        <v>166</v>
      </c>
      <c r="F18" s="42" t="s">
        <v>157</v>
      </c>
      <c r="G18" s="42" t="s">
        <v>169</v>
      </c>
      <c r="H18" s="42" t="s">
        <v>153</v>
      </c>
      <c r="I18" s="42"/>
      <c r="J18" s="43">
        <f t="shared" si="2"/>
        <v>8</v>
      </c>
      <c r="K18" s="43">
        <f t="shared" si="2"/>
        <v>9</v>
      </c>
      <c r="L18" s="43">
        <f t="shared" si="2"/>
        <v>-8</v>
      </c>
      <c r="M18" s="43">
        <f t="shared" si="2"/>
        <v>7</v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0</v>
      </c>
      <c r="R18" s="44">
        <f t="shared" si="0"/>
        <v>1</v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1</v>
      </c>
      <c r="W18" s="45">
        <f t="shared" si="1"/>
        <v>0</v>
      </c>
      <c r="X18" s="45" t="str">
        <f t="shared" si="1"/>
        <v/>
      </c>
      <c r="Y18" s="46">
        <f>IF(E18="","",SUM(O18:S18))</f>
        <v>3</v>
      </c>
      <c r="Z18" s="46">
        <f>IF(E18="","",SUM(T18:X18))</f>
        <v>1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Чекалов Дмитрий Геннадьевич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Кафиев Артур Рафаилович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8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9</v>
      </c>
      <c r="FF18" s="255"/>
      <c r="FG18" s="255"/>
      <c r="FH18" s="256"/>
      <c r="FI18" s="257">
        <f>IF(G18="","",IF(L18&gt;9,HY18,HW18))</f>
        <v>8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>
        <f>IF(H18="","",IF(M18&gt;9,IC18,IA18))</f>
        <v>11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7</v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1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8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 t="str">
        <f>IF(F18="","",IF(K18=1000,11,IF(K18=-1000,0,IF(K18&lt;9,11,IF(K18&gt;9,(K18+2),"0")))))</f>
        <v>0</v>
      </c>
      <c r="HV18" s="54">
        <f>IF(F18="","",IF(K18=1000,0,IF(K18=-1000,11,IF(K18&lt;0,11,IF(K18&gt;0,(K18),"0")))))</f>
        <v>9</v>
      </c>
      <c r="HW18" s="49">
        <f>IF(G18="","",IF(L18=1000,11,IF(L18=-1000,0,IF(L18&gt;0,11,IF(L18&lt;0,(-L18),"0")))))</f>
        <v>8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>
        <f>IF(H18="","",IF(M18=1000,11,IF(M18=-1000,0,IF(M18&gt;0,11,IF(M18&lt;0,(-M18),"0")))))</f>
        <v>11</v>
      </c>
      <c r="IB18" s="53">
        <f>IF(H18="","",IF(G18="","",IF(M18=1000,0,IF(M18=-1000,11,IF(M18&lt;-9,-(M18-2),IF(M18&gt;0,(GX18),"0"))))))</f>
        <v>0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7</v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8</v>
      </c>
      <c r="IL18" s="56">
        <f>IF(H18="","",FS18*1)</f>
        <v>11</v>
      </c>
      <c r="IM18" s="56" t="str">
        <f>IF(I18="","",GC18*1)</f>
        <v/>
      </c>
      <c r="IN18" s="57">
        <f>IF(E18="","",EU18*1)</f>
        <v>8</v>
      </c>
      <c r="IO18" s="57">
        <f>IF(F18="","",FE18*1)</f>
        <v>9</v>
      </c>
      <c r="IP18" s="57">
        <f>IF(G18="","",FO18*1)</f>
        <v>11</v>
      </c>
      <c r="IQ18" s="57">
        <f>IF(H18="","",FY18*1)</f>
        <v>7</v>
      </c>
      <c r="IR18" s="57" t="str">
        <f>IF(I18="","",GI18*1)</f>
        <v/>
      </c>
      <c r="IS18" s="58">
        <f>IF(E18="","",SUM(II18:IM18))</f>
        <v>41</v>
      </c>
      <c r="IT18" s="58">
        <f>IF(E18="","",SUM(IN18:IR18))</f>
        <v>35</v>
      </c>
    </row>
    <row r="19" spans="1:254" ht="30" customHeight="1" x14ac:dyDescent="0.2">
      <c r="A19" s="39" t="s">
        <v>17</v>
      </c>
      <c r="B19" s="59">
        <f>IF(B16=0,"",B16)</f>
        <v>92</v>
      </c>
      <c r="C19" s="41" t="s">
        <v>34</v>
      </c>
      <c r="D19" s="59">
        <f>IF(D17=0,"",D17)</f>
        <v>32</v>
      </c>
      <c r="E19" s="42" t="s">
        <v>173</v>
      </c>
      <c r="F19" s="42" t="s">
        <v>175</v>
      </c>
      <c r="G19" s="42" t="s">
        <v>171</v>
      </c>
      <c r="H19" s="42"/>
      <c r="I19" s="42"/>
      <c r="J19" s="43">
        <f t="shared" si="2"/>
        <v>-4</v>
      </c>
      <c r="K19" s="43">
        <f t="shared" si="2"/>
        <v>-10</v>
      </c>
      <c r="L19" s="43">
        <f t="shared" si="2"/>
        <v>-6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Чекалов Никита Геннадьевич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Каулик Алексей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4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10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12</v>
      </c>
      <c r="FF19" s="255"/>
      <c r="FG19" s="255"/>
      <c r="FH19" s="256"/>
      <c r="FI19" s="257">
        <f>IF(G19="","",IF(L19&gt;9,HY19,HW19))</f>
        <v>6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4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10</v>
      </c>
      <c r="HT19" s="53">
        <f>IF(F19="","",IF(K19=1000,0,IF(K19=-1000,11,IF(K19&lt;-9,-(K19-2),IF(K19&gt;0,(GV19),"0")))))</f>
        <v>12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6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4</v>
      </c>
      <c r="IJ19" s="56">
        <f>IF(F19="","",EY19*1)</f>
        <v>10</v>
      </c>
      <c r="IK19" s="56">
        <f>IF(G19="","",FI19*1)</f>
        <v>6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12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20</v>
      </c>
      <c r="IT19" s="58">
        <f>IF(E19="","",SUM(IN19:IR19))</f>
        <v>34</v>
      </c>
    </row>
    <row r="20" spans="1:254" ht="30" customHeight="1" thickBot="1" x14ac:dyDescent="0.4">
      <c r="A20" s="39" t="s">
        <v>18</v>
      </c>
      <c r="B20" s="59">
        <f>IF(B17=0,"",B17)</f>
        <v>95</v>
      </c>
      <c r="C20" s="41" t="s">
        <v>35</v>
      </c>
      <c r="D20" s="59">
        <f>IF(D16=0,"",D16)</f>
        <v>31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Михайленко Кирилл Вадимович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Сорбало Владислав Федорович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3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«Интер»  г.Евпатория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3</v>
      </c>
      <c r="GN21" s="222"/>
      <c r="GO21" s="222"/>
      <c r="GP21" s="222"/>
      <c r="GQ21" s="222"/>
      <c r="GR21" s="222"/>
      <c r="GS21" s="223"/>
      <c r="GT21" s="224">
        <f>IF(E16="","",SUM(GT16:GZ20))</f>
        <v>10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89</v>
      </c>
      <c r="IT21" s="65">
        <f>IF(E16="","",SUM(IT16:IT20))</f>
        <v>135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19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"Спортшкола - Юноши" г.Ялта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«Интер»  г.Евпатория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92</v>
      </c>
      <c r="F57" s="481"/>
      <c r="G57" s="9"/>
      <c r="H57" s="480">
        <f>C2</f>
        <v>31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110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93</v>
      </c>
      <c r="F58" s="481"/>
      <c r="G58" s="9"/>
      <c r="H58" s="480">
        <f>C4</f>
        <v>33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105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96</v>
      </c>
      <c r="F59" s="481"/>
      <c r="G59" s="9"/>
      <c r="H59" s="480">
        <f>C7</f>
        <v>36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97</v>
      </c>
      <c r="F60" s="481"/>
      <c r="G60" s="9"/>
      <c r="H60" s="480">
        <f>C8</f>
        <v>37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98</v>
      </c>
      <c r="F61" s="481"/>
      <c r="G61" s="9"/>
      <c r="H61" s="480">
        <f>C9</f>
        <v>38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99</v>
      </c>
      <c r="F62" s="481"/>
      <c r="G62" s="9"/>
      <c r="H62" s="480">
        <f>1+H61</f>
        <v>39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100</v>
      </c>
      <c r="F63" s="481"/>
      <c r="G63" s="9"/>
      <c r="H63" s="480">
        <f>1+H62</f>
        <v>40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101</v>
      </c>
      <c r="F64" s="481"/>
      <c r="G64" s="9"/>
      <c r="H64" s="480">
        <f>1+H63</f>
        <v>41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102</v>
      </c>
      <c r="F65" s="481"/>
      <c r="G65" s="9"/>
      <c r="H65" s="480">
        <f>1+H64</f>
        <v>42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103</v>
      </c>
      <c r="F66" s="481"/>
      <c r="G66" s="9"/>
      <c r="H66" s="480">
        <f>1+H65</f>
        <v>43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92D050"/>
    <pageSetUpPr fitToPage="1"/>
  </sheetPr>
  <dimension ref="A1:IU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«СШ №3(1)» г.Симферополь</v>
      </c>
      <c r="B1" s="576"/>
      <c r="C1" s="577" t="str">
        <f>IF(D11="","",VLOOKUP(D11,Список!B:O,12,FALSE))</f>
        <v>«Дрим Тим» г.Симферополь</v>
      </c>
      <c r="D1" s="578"/>
      <c r="E1" s="579">
        <v>20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81</v>
      </c>
      <c r="B2" s="13" t="str">
        <f>IF(A2="","",VLOOKUP(A2,Список!E:O,2,FALSE))</f>
        <v xml:space="preserve"> Пыльник Данил Александрович</v>
      </c>
      <c r="C2" s="14">
        <f>IF($B$11="","",$D$11*10+1)</f>
        <v>41</v>
      </c>
      <c r="D2" s="15" t="str">
        <f>IF(C2="","",VLOOKUP(C2,Список!E:O,2,FALSE))</f>
        <v xml:space="preserve"> Гаврилов Денис Михайлович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82</v>
      </c>
      <c r="B3" s="13" t="str">
        <f>IF(A3="","",VLOOKUP(A3,Список!E:O,2,FALSE))</f>
        <v xml:space="preserve"> Орбакас Антон Эдуардесович</v>
      </c>
      <c r="C3" s="14">
        <f>IF($B$11="","",$D$11*10+2)</f>
        <v>42</v>
      </c>
      <c r="D3" s="15" t="str">
        <f>IF(C3="","",VLOOKUP(C3,Список!E:O,2,FALSE))</f>
        <v xml:space="preserve"> Курило Игорь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83</v>
      </c>
      <c r="B4" s="13" t="str">
        <f>IF(A4="","",VLOOKUP(A4,Список!E:O,2,FALSE))</f>
        <v xml:space="preserve"> Лойко Максим Александрович</v>
      </c>
      <c r="C4" s="14">
        <f>IF($B$11="","",$D$11*10+3)</f>
        <v>43</v>
      </c>
      <c r="D4" s="15" t="str">
        <f>IF(C4="","",VLOOKUP(C4,Список!E:O,2,FALSE))</f>
        <v xml:space="preserve"> Длугоканский Андрей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84</v>
      </c>
      <c r="B5" s="13" t="str">
        <f>IF(A5="","",VLOOKUP(A5,Список!E:O,2,FALSE))</f>
        <v>-</v>
      </c>
      <c r="C5" s="14">
        <f>IF($B$11="","",$D$11*10+4)</f>
        <v>44</v>
      </c>
      <c r="D5" s="15" t="str">
        <f>IF(C5="","",VLOOKUP(C5,Список!E:O,2,FALSE))</f>
        <v xml:space="preserve"> Полтев Данил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85</v>
      </c>
      <c r="B6" s="13" t="str">
        <f>IF(A6="","",VLOOKUP(A6,Список!E:O,2,FALSE))</f>
        <v>-</v>
      </c>
      <c r="C6" s="14">
        <f>IF($B$11="","",$D$11*10+5)</f>
        <v>45</v>
      </c>
      <c r="D6" s="15" t="str">
        <f>IF(C6="","",VLOOKUP(C6,Список!E:O,2,FALSE))</f>
        <v xml:space="preserve"> Ткаченко Владимир Михайлович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86</v>
      </c>
      <c r="B7" s="13" t="str">
        <f>IF(A7="","",VLOOKUP(A7,Список!E:O,2,FALSE))</f>
        <v>-</v>
      </c>
      <c r="C7" s="14">
        <f>IF($B$11="","",$D$11*10+6)</f>
        <v>46</v>
      </c>
      <c r="D7" s="15" t="str">
        <f>IF(C7="","",VLOOKUP(C7,Список!E:O,2,FALSE))</f>
        <v xml:space="preserve"> Животов Дмитрий Викторович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87</v>
      </c>
      <c r="B8" s="13" t="str">
        <f>IF(A8="","",VLOOKUP(A8,Список!E:O,2,FALSE))</f>
        <v>-</v>
      </c>
      <c r="C8" s="14">
        <f>IF($B$11="","",$D$11*10+7)</f>
        <v>47</v>
      </c>
      <c r="D8" s="15" t="str">
        <f>IF(C8="","",VLOOKUP(C8,Список!E:O,2,FALSE))</f>
        <v xml:space="preserve"> Скоробогатов Евгений Петрович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№3(1)»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«Дрим Тим»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88</v>
      </c>
      <c r="B9" s="13" t="str">
        <f>IF(A9="","",VLOOKUP(A9,Список!E:O,2,FALSE))</f>
        <v>-</v>
      </c>
      <c r="C9" s="14">
        <f>IF($B$11="","",$D$11*10+8)</f>
        <v>48</v>
      </c>
      <c r="D9" s="15" t="str">
        <f>IF(C9="","",VLOOKUP(C9,Список!E:O,2,FALSE))</f>
        <v xml:space="preserve"> Скоробогатов Александр Евгеньевич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8</v>
      </c>
      <c r="C11" s="27" t="s">
        <v>18</v>
      </c>
      <c r="D11" s="29">
        <f>IF(B11="","",IF(B11=A13,C13,IF(B11=C13,A13,)))</f>
        <v>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«СШ №3(1)»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«Дрим Тим»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14:40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80</v>
      </c>
      <c r="D12" s="25">
        <f>IF(B11="","",D11*10)</f>
        <v>40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8</v>
      </c>
      <c r="B13" s="566"/>
      <c r="C13" s="565">
        <f>IF($E$1="","",VLOOKUP($E$1,'Общее расписание'!$B:$V,3,FALSE))</f>
        <v>4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Филатов Д.В.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Скоробогатов Е.П.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4, встреча 20, 8 - 4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20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81</v>
      </c>
      <c r="C16" s="41" t="s">
        <v>35</v>
      </c>
      <c r="D16" s="40">
        <v>43</v>
      </c>
      <c r="E16" s="42"/>
      <c r="F16" s="42"/>
      <c r="G16" s="42"/>
      <c r="H16" s="42"/>
      <c r="I16" s="42"/>
      <c r="J16" s="43" t="str">
        <f>IF(E16="","",IF(E16="0",1000,IF(E16="-0",-1000,E16*1)))</f>
        <v/>
      </c>
      <c r="K16" s="43" t="str">
        <f>IF(F16="","",IF(F16="0",1000,IF(F16="-0",-1000,F16*1)))</f>
        <v/>
      </c>
      <c r="L16" s="43" t="str">
        <f>IF(G16="","",IF(G16="0",1000,IF(G16="-0",-1000,G16*1)))</f>
        <v/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 t="str">
        <f>IF(J16="","",IF(J16&gt;0,1,0))</f>
        <v/>
      </c>
      <c r="P16" s="44" t="str">
        <f t="shared" ref="P16:S20" si="0">IF(K16="","",IF(K16&gt;0,1,0))</f>
        <v/>
      </c>
      <c r="Q16" s="44" t="str">
        <f t="shared" si="0"/>
        <v/>
      </c>
      <c r="R16" s="44" t="str">
        <f t="shared" si="0"/>
        <v/>
      </c>
      <c r="S16" s="44" t="str">
        <f t="shared" si="0"/>
        <v/>
      </c>
      <c r="T16" s="45" t="str">
        <f t="shared" ref="T16:X20" si="1">IF(J16="","",IF(J16&lt;0,1,0))</f>
        <v/>
      </c>
      <c r="U16" s="45" t="str">
        <f t="shared" si="1"/>
        <v/>
      </c>
      <c r="V16" s="45" t="str">
        <f t="shared" si="1"/>
        <v/>
      </c>
      <c r="W16" s="45" t="str">
        <f t="shared" si="1"/>
        <v/>
      </c>
      <c r="X16" s="45" t="str">
        <f t="shared" si="1"/>
        <v/>
      </c>
      <c r="Y16" s="46" t="str">
        <f>IF(E16="","",SUM(O16:S16))</f>
        <v/>
      </c>
      <c r="Z16" s="46" t="str">
        <f>IF(E16="","",SUM(T16:X16))</f>
        <v/>
      </c>
      <c r="AA16" s="47" t="str">
        <f>IF(E16="","",IF(Y16&gt;Z16,1,0))</f>
        <v/>
      </c>
      <c r="AB16" s="48" t="str">
        <f>IF(E16="","",IF(Y16&lt;Z16,1,0))</f>
        <v/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Пыльник Данил Александрович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Длугоканский Андрей Александрович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 t="str">
        <f>IF(E16="","",IF(J16&gt;9,HQ16,HO16))</f>
        <v/>
      </c>
      <c r="EP16" s="320"/>
      <c r="EQ16" s="320"/>
      <c r="ER16" s="320"/>
      <c r="ES16" s="314" t="str">
        <f>IF(EO16="","","-")</f>
        <v/>
      </c>
      <c r="ET16" s="314"/>
      <c r="EU16" s="320" t="str">
        <f>IF(E16="","",IF(J16&lt;-9,HP16,HR16))</f>
        <v/>
      </c>
      <c r="EV16" s="320"/>
      <c r="EW16" s="320"/>
      <c r="EX16" s="321"/>
      <c r="EY16" s="322" t="str">
        <f>IF(F16="","",IF(K16&gt;9,HU16,HS16))</f>
        <v/>
      </c>
      <c r="EZ16" s="320"/>
      <c r="FA16" s="320"/>
      <c r="FB16" s="320"/>
      <c r="FC16" s="323" t="str">
        <f>IF(EY16="","","-")</f>
        <v/>
      </c>
      <c r="FD16" s="323"/>
      <c r="FE16" s="320" t="str">
        <f>IF(F16="","",IF(K16&lt;-9,HT16,HV16))</f>
        <v/>
      </c>
      <c r="FF16" s="320"/>
      <c r="FG16" s="320"/>
      <c r="FH16" s="321"/>
      <c r="FI16" s="322" t="str">
        <f>IF(G16="","",IF(L16&gt;9,HY16,HW16))</f>
        <v/>
      </c>
      <c r="FJ16" s="320"/>
      <c r="FK16" s="320"/>
      <c r="FL16" s="320"/>
      <c r="FM16" s="323" t="str">
        <f>IF(FI16="","","-")</f>
        <v/>
      </c>
      <c r="FN16" s="323"/>
      <c r="FO16" s="320" t="str">
        <f>IF(G16="","",IF(L16&lt;-9,HX16,HZ16))</f>
        <v/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 t="str">
        <f>Y16</f>
        <v/>
      </c>
      <c r="GN16" s="310"/>
      <c r="GO16" s="310"/>
      <c r="GP16" s="310"/>
      <c r="GQ16" s="310"/>
      <c r="GR16" s="310"/>
      <c r="GS16" s="311"/>
      <c r="GT16" s="312" t="str">
        <f>Z16</f>
        <v/>
      </c>
      <c r="GU16" s="310"/>
      <c r="GV16" s="310"/>
      <c r="GW16" s="310"/>
      <c r="GX16" s="310"/>
      <c r="GY16" s="310"/>
      <c r="GZ16" s="313"/>
      <c r="HA16" s="315" t="str">
        <f>AA16</f>
        <v/>
      </c>
      <c r="HB16" s="316"/>
      <c r="HC16" s="316"/>
      <c r="HD16" s="316"/>
      <c r="HE16" s="316"/>
      <c r="HF16" s="316"/>
      <c r="HG16" s="317"/>
      <c r="HH16" s="318" t="str">
        <f>AB16</f>
        <v/>
      </c>
      <c r="HI16" s="316"/>
      <c r="HJ16" s="316"/>
      <c r="HK16" s="316"/>
      <c r="HL16" s="316"/>
      <c r="HM16" s="316"/>
      <c r="HN16" s="319"/>
      <c r="HO16" s="49" t="str">
        <f>IF(E16="","",IF(J16=1000,11,IF(J16=-1000,0,IF(J16&gt;0,11,IF(J16&lt;0,(-J16),"0")))))</f>
        <v/>
      </c>
      <c r="HP16" s="50" t="str">
        <f>IF(E16="","",IF(J16=1000,0,IF(J16=-1000,11,IF(J16&lt;-9,-(J16-2),IF(J16&gt;0,(GU16),"0")))))</f>
        <v/>
      </c>
      <c r="HQ16" s="51" t="str">
        <f>IF(E16="","",IF(J16=1000,11,IF(J16=-1000,0,IF(J16&lt;9,11,IF(J16&gt;9,(J16+2),"0")))))</f>
        <v/>
      </c>
      <c r="HR16" s="52" t="str">
        <f>IF(E16="","",IF(J16=1000,0,IF(J16=-1000,11,IF(J16&lt;0,11,IF(J16&gt;0,(J16),"0")))))</f>
        <v/>
      </c>
      <c r="HS16" s="53" t="str">
        <f>IF(F16="","",IF(K16=1000,11,IF(K16=-1000,0,IF(K16&gt;0,11,IF(K16&lt;0,(-K16),"0")))))</f>
        <v/>
      </c>
      <c r="HT16" s="53" t="str">
        <f>IF(F16="","",IF(K16=1000,0,IF(K16=-1000,11,IF(K16&lt;-9,-(K16-2),IF(K16&gt;0,(GV16),"0")))))</f>
        <v/>
      </c>
      <c r="HU16" s="54" t="str">
        <f>IF(F16="","",IF(K16=1000,11,IF(K16=-1000,0,IF(K16&lt;9,11,IF(K16&gt;9,(K16+2),"0")))))</f>
        <v/>
      </c>
      <c r="HV16" s="54" t="str">
        <f>IF(F16="","",IF(K16=1000,0,IF(K16=-1000,11,IF(K16&lt;0,11,IF(K16&gt;0,(K16),"0")))))</f>
        <v/>
      </c>
      <c r="HW16" s="49" t="str">
        <f>IF(G16="","",IF(L16=1000,11,IF(L16=-1000,0,IF(L16&gt;0,11,IF(L16&lt;0,(-L16),"0")))))</f>
        <v/>
      </c>
      <c r="HX16" s="50" t="str">
        <f>IF(G16="","",IF(L16=1000,0,IF(L16=-1000,11,IF(L16&lt;-9,-(L16-2),IF(L16&gt;0,(GW16),"0")))))</f>
        <v/>
      </c>
      <c r="HY16" s="51" t="str">
        <f>IF(G16="","",IF(L16=1000,11,IF(L16=-1000,0,IF(L16&lt;9,11,IF(L16&gt;9,(L16+2),"0")))))</f>
        <v/>
      </c>
      <c r="HZ16" s="52" t="str">
        <f>IF(G16="","",IF(L16=1000,0,IF(L16=-1000,11,IF(L16&lt;0,11,IF(L16&gt;0,(L16),"0")))))</f>
        <v/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 t="str">
        <f>IF(E16="","",EO16*1)</f>
        <v/>
      </c>
      <c r="IJ16" s="56" t="str">
        <f>IF(F16="","",EY16*1)</f>
        <v/>
      </c>
      <c r="IK16" s="56" t="str">
        <f>IF(G16="","",FI16*1)</f>
        <v/>
      </c>
      <c r="IL16" s="56" t="str">
        <f>IF(H16="","",FS16*1)</f>
        <v/>
      </c>
      <c r="IM16" s="56" t="str">
        <f>IF(I16="","",GC16*1)</f>
        <v/>
      </c>
      <c r="IN16" s="57" t="str">
        <f>IF(E16="","",EU16*1)</f>
        <v/>
      </c>
      <c r="IO16" s="57" t="str">
        <f>IF(F16="","",FE16*1)</f>
        <v/>
      </c>
      <c r="IP16" s="57" t="str">
        <f>IF(G16="","",FO16*1)</f>
        <v/>
      </c>
      <c r="IQ16" s="57" t="str">
        <f>IF(H16="","",FY16*1)</f>
        <v/>
      </c>
      <c r="IR16" s="57" t="str">
        <f>IF(I16="","",GI16*1)</f>
        <v/>
      </c>
      <c r="IS16" s="58" t="str">
        <f>IF(E16="","",SUM(II16:IM16))</f>
        <v/>
      </c>
      <c r="IT16" s="58" t="str">
        <f>IF(E16="","",SUM(IN16:IR16))</f>
        <v/>
      </c>
    </row>
    <row r="17" spans="1:254" ht="30" customHeight="1" x14ac:dyDescent="0.35">
      <c r="A17" s="39" t="s">
        <v>18</v>
      </c>
      <c r="B17" s="40">
        <v>82</v>
      </c>
      <c r="C17" s="41" t="s">
        <v>34</v>
      </c>
      <c r="D17" s="40">
        <v>44</v>
      </c>
      <c r="E17" s="42"/>
      <c r="F17" s="42"/>
      <c r="G17" s="42"/>
      <c r="H17" s="42"/>
      <c r="I17" s="42"/>
      <c r="J17" s="43" t="str">
        <f t="shared" ref="J17:N20" si="2">IF(E17="","",IF(E17="0",1000,IF(E17="-0",-1000,E17*1)))</f>
        <v/>
      </c>
      <c r="K17" s="43" t="str">
        <f t="shared" si="2"/>
        <v/>
      </c>
      <c r="L17" s="43" t="str">
        <f t="shared" si="2"/>
        <v/>
      </c>
      <c r="M17" s="43" t="str">
        <f t="shared" si="2"/>
        <v/>
      </c>
      <c r="N17" s="43" t="str">
        <f t="shared" si="2"/>
        <v/>
      </c>
      <c r="O17" s="44" t="str">
        <f>IF(J17="","",IF(J17&gt;0,1,0))</f>
        <v/>
      </c>
      <c r="P17" s="44" t="str">
        <f t="shared" si="0"/>
        <v/>
      </c>
      <c r="Q17" s="44" t="str">
        <f t="shared" si="0"/>
        <v/>
      </c>
      <c r="R17" s="44" t="str">
        <f t="shared" si="0"/>
        <v/>
      </c>
      <c r="S17" s="44" t="str">
        <f t="shared" si="0"/>
        <v/>
      </c>
      <c r="T17" s="45" t="str">
        <f t="shared" si="1"/>
        <v/>
      </c>
      <c r="U17" s="45" t="str">
        <f t="shared" si="1"/>
        <v/>
      </c>
      <c r="V17" s="45" t="str">
        <f t="shared" si="1"/>
        <v/>
      </c>
      <c r="W17" s="45" t="str">
        <f t="shared" si="1"/>
        <v/>
      </c>
      <c r="X17" s="45" t="str">
        <f t="shared" si="1"/>
        <v/>
      </c>
      <c r="Y17" s="46" t="str">
        <f>IF(E17="","",SUM(O17:S17))</f>
        <v/>
      </c>
      <c r="Z17" s="46" t="str">
        <f>IF(E17="","",SUM(T17:X17))</f>
        <v/>
      </c>
      <c r="AA17" s="47" t="str">
        <f>IF(E17="","",IF(Y17&gt;Z17,1,0))</f>
        <v/>
      </c>
      <c r="AB17" s="48" t="str">
        <f>IF(E17="","",IF(Y17&lt;Z17,1,0))</f>
        <v/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Орбакас Антон Эдуардесович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Полтев Данил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 t="str">
        <f>IF(E17="","",IF(J17&gt;9,HQ17,HO17))</f>
        <v/>
      </c>
      <c r="EP17" s="255"/>
      <c r="EQ17" s="255"/>
      <c r="ER17" s="255"/>
      <c r="ES17" s="297" t="str">
        <f>IF(EO17="","","-")</f>
        <v/>
      </c>
      <c r="ET17" s="297"/>
      <c r="EU17" s="255" t="str">
        <f>IF(E17="","",IF(J17&lt;-9,HP17,HR17))</f>
        <v/>
      </c>
      <c r="EV17" s="255"/>
      <c r="EW17" s="255"/>
      <c r="EX17" s="256"/>
      <c r="EY17" s="257" t="str">
        <f>IF(F17="","",IF(K17&gt;9,HU17,HS17))</f>
        <v/>
      </c>
      <c r="EZ17" s="255"/>
      <c r="FA17" s="255"/>
      <c r="FB17" s="255"/>
      <c r="FC17" s="254" t="str">
        <f>IF(EY17="","","-")</f>
        <v/>
      </c>
      <c r="FD17" s="254"/>
      <c r="FE17" s="255" t="str">
        <f>IF(F17="","",IF(K17&lt;-9,HT17,HV17))</f>
        <v/>
      </c>
      <c r="FF17" s="255"/>
      <c r="FG17" s="255"/>
      <c r="FH17" s="256"/>
      <c r="FI17" s="257" t="str">
        <f>IF(G17="","",IF(L17&gt;9,HY17,HW17))</f>
        <v/>
      </c>
      <c r="FJ17" s="255"/>
      <c r="FK17" s="255"/>
      <c r="FL17" s="255"/>
      <c r="FM17" s="254" t="str">
        <f>IF(FI17="","","-")</f>
        <v/>
      </c>
      <c r="FN17" s="254"/>
      <c r="FO17" s="255" t="str">
        <f>IF(G17="","",IF(L17&lt;-9,HX17,HZ17))</f>
        <v/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 t="str">
        <f>Y17</f>
        <v/>
      </c>
      <c r="GN17" s="247"/>
      <c r="GO17" s="247"/>
      <c r="GP17" s="247"/>
      <c r="GQ17" s="247"/>
      <c r="GR17" s="247"/>
      <c r="GS17" s="304"/>
      <c r="GT17" s="246" t="str">
        <f>Z17</f>
        <v/>
      </c>
      <c r="GU17" s="247"/>
      <c r="GV17" s="247"/>
      <c r="GW17" s="247"/>
      <c r="GX17" s="247"/>
      <c r="GY17" s="247"/>
      <c r="GZ17" s="248"/>
      <c r="HA17" s="249" t="str">
        <f>AA17</f>
        <v/>
      </c>
      <c r="HB17" s="250"/>
      <c r="HC17" s="250"/>
      <c r="HD17" s="250"/>
      <c r="HE17" s="250"/>
      <c r="HF17" s="250"/>
      <c r="HG17" s="251"/>
      <c r="HH17" s="252" t="str">
        <f>AB17</f>
        <v/>
      </c>
      <c r="HI17" s="250"/>
      <c r="HJ17" s="250"/>
      <c r="HK17" s="250"/>
      <c r="HL17" s="250"/>
      <c r="HM17" s="250"/>
      <c r="HN17" s="253"/>
      <c r="HO17" s="49" t="str">
        <f>IF(E17="","",IF(J17=1000,11,IF(J17=-1000,0,IF(J17&gt;0,11,IF(J17&lt;0,(-J17),"0")))))</f>
        <v/>
      </c>
      <c r="HP17" s="50" t="str">
        <f>IF(E17="","",IF(J17=1000,0,IF(J17=-1000,11,IF(J17&lt;-9,-(J17-2),IF(J17&gt;0,(GU17),"0")))))</f>
        <v/>
      </c>
      <c r="HQ17" s="51" t="str">
        <f>IF(E17="","",IF(J17=1000,11,IF(J17=-1000,0,IF(J17&lt;9,11,IF(J17&gt;9,(J17+2),"0")))))</f>
        <v/>
      </c>
      <c r="HR17" s="52" t="str">
        <f>IF(E17="","",IF(J17=1000,0,IF(J17=-1000,11,IF(J17&lt;0,11,IF(J17&gt;0,(J17),"0")))))</f>
        <v/>
      </c>
      <c r="HS17" s="53" t="str">
        <f>IF(F17="","",IF(K17=1000,11,IF(K17=-1000,0,IF(K17&gt;0,11,IF(K17&lt;0,(-K17),"0")))))</f>
        <v/>
      </c>
      <c r="HT17" s="53" t="str">
        <f>IF(F17="","",IF(K17=1000,0,IF(K17=-1000,11,IF(K17&lt;-9,-(K17-2),IF(K17&gt;0,(GV17),"0")))))</f>
        <v/>
      </c>
      <c r="HU17" s="54" t="str">
        <f>IF(F17="","",IF(K17=1000,11,IF(K17=-1000,0,IF(K17&lt;9,11,IF(K17&gt;9,(K17+2),"0")))))</f>
        <v/>
      </c>
      <c r="HV17" s="54" t="str">
        <f>IF(F17="","",IF(K17=1000,0,IF(K17=-1000,11,IF(K17&lt;0,11,IF(K17&gt;0,(K17),"0")))))</f>
        <v/>
      </c>
      <c r="HW17" s="49" t="str">
        <f>IF(G17="","",IF(L17=1000,11,IF(L17=-1000,0,IF(L17&gt;0,11,IF(L17&lt;0,(-L17),"0")))))</f>
        <v/>
      </c>
      <c r="HX17" s="50" t="str">
        <f>IF(G17="","",IF(L17=1000,0,IF(L17=-1000,11,IF(L17&lt;-9,-(L17-2),IF(L17&gt;0,(GW17),"0")))))</f>
        <v/>
      </c>
      <c r="HY17" s="51" t="str">
        <f>IF(G17="","",IF(L17=1000,11,IF(L17=-1000,0,IF(L17&lt;9,11,IF(L17&gt;9,(L17+2),"0")))))</f>
        <v/>
      </c>
      <c r="HZ17" s="52" t="str">
        <f>IF(G17="","",IF(L17=1000,0,IF(L17=-1000,11,IF(L17&lt;0,11,IF(L17&gt;0,(L17),"0")))))</f>
        <v/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 t="str">
        <f>IF(E17="","",EO17*1)</f>
        <v/>
      </c>
      <c r="IJ17" s="56" t="str">
        <f>IF(F17="","",EY17*1)</f>
        <v/>
      </c>
      <c r="IK17" s="56" t="str">
        <f>IF(G17="","",FI17*1)</f>
        <v/>
      </c>
      <c r="IL17" s="56" t="str">
        <f>IF(H17="","",FS17*1)</f>
        <v/>
      </c>
      <c r="IM17" s="56" t="str">
        <f>IF(I17="","",GC17*1)</f>
        <v/>
      </c>
      <c r="IN17" s="57" t="str">
        <f>IF(E17="","",EU17*1)</f>
        <v/>
      </c>
      <c r="IO17" s="57" t="str">
        <f>IF(F17="","",FE17*1)</f>
        <v/>
      </c>
      <c r="IP17" s="57" t="str">
        <f>IF(G17="","",FO17*1)</f>
        <v/>
      </c>
      <c r="IQ17" s="57" t="str">
        <f>IF(H17="","",FY17*1)</f>
        <v/>
      </c>
      <c r="IR17" s="57" t="str">
        <f>IF(I17="","",GI17*1)</f>
        <v/>
      </c>
      <c r="IS17" s="58" t="str">
        <f>IF(E17="","",SUM(II17:IM17))</f>
        <v/>
      </c>
      <c r="IT17" s="58" t="str">
        <f>IF(E17="","",SUM(IN17:IR17))</f>
        <v/>
      </c>
    </row>
    <row r="18" spans="1:254" ht="30" customHeight="1" x14ac:dyDescent="0.2">
      <c r="A18" s="39" t="s">
        <v>36</v>
      </c>
      <c r="B18" s="40">
        <v>83</v>
      </c>
      <c r="C18" s="41" t="s">
        <v>37</v>
      </c>
      <c r="D18" s="40">
        <v>45</v>
      </c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Лойко Максим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Ткаченко Владимир Михайлович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81</v>
      </c>
      <c r="C19" s="41" t="s">
        <v>34</v>
      </c>
      <c r="D19" s="59">
        <f>IF(D17=0,"",D17)</f>
        <v>44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Пыльник Данил Александрович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Полтев Данил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82</v>
      </c>
      <c r="C20" s="41" t="s">
        <v>35</v>
      </c>
      <c r="D20" s="59">
        <f>IF(D16=0,"",D16)</f>
        <v>43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Орбакас Антон Эдуардесович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Длугоканский Андрей Александрович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 t="str">
        <f>IF(E16="","",SUM(GM16:GS20))</f>
        <v/>
      </c>
      <c r="GN21" s="222"/>
      <c r="GO21" s="222"/>
      <c r="GP21" s="222"/>
      <c r="GQ21" s="222"/>
      <c r="GR21" s="222"/>
      <c r="GS21" s="223"/>
      <c r="GT21" s="224" t="str">
        <f>IF(E16="","",SUM(GT16:GZ20))</f>
        <v/>
      </c>
      <c r="GU21" s="225"/>
      <c r="GV21" s="225"/>
      <c r="GW21" s="225"/>
      <c r="GX21" s="225"/>
      <c r="GY21" s="225"/>
      <c r="GZ21" s="226"/>
      <c r="HA21" s="227" t="str">
        <f>IF(E16="","",SUM(HA16:HG20))</f>
        <v/>
      </c>
      <c r="HB21" s="228"/>
      <c r="HC21" s="228"/>
      <c r="HD21" s="228"/>
      <c r="HE21" s="228"/>
      <c r="HF21" s="228"/>
      <c r="HG21" s="229"/>
      <c r="HH21" s="230" t="str">
        <f>IF(E16="","",SUM(HH16:HN20))</f>
        <v/>
      </c>
      <c r="HI21" s="228"/>
      <c r="HJ21" s="228"/>
      <c r="HK21" s="228"/>
      <c r="HL21" s="228"/>
      <c r="HM21" s="228"/>
      <c r="HN21" s="231"/>
      <c r="IS21" s="64" t="str">
        <f>IF(E16="","",SUM(IS16:IS20))</f>
        <v/>
      </c>
      <c r="IT21" s="65" t="str">
        <f>IF(E16="","",SUM(IT16:IT20))</f>
        <v/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20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«СШ №3(1)»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«Дрим Тим»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82</v>
      </c>
      <c r="F57" s="481"/>
      <c r="G57" s="9"/>
      <c r="H57" s="480">
        <f>C2</f>
        <v>41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83</v>
      </c>
      <c r="F58" s="481"/>
      <c r="G58" s="9"/>
      <c r="H58" s="480">
        <f>C4</f>
        <v>43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86</v>
      </c>
      <c r="F59" s="481"/>
      <c r="G59" s="9"/>
      <c r="H59" s="480">
        <f>C7</f>
        <v>46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87</v>
      </c>
      <c r="F60" s="481"/>
      <c r="G60" s="9"/>
      <c r="H60" s="480">
        <f>C8</f>
        <v>47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88</v>
      </c>
      <c r="F61" s="481"/>
      <c r="G61" s="9"/>
      <c r="H61" s="480">
        <f>C9</f>
        <v>48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89</v>
      </c>
      <c r="F62" s="481"/>
      <c r="G62" s="9"/>
      <c r="H62" s="480">
        <f>1+H61</f>
        <v>49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90</v>
      </c>
      <c r="F63" s="481"/>
      <c r="G63" s="9"/>
      <c r="H63" s="480">
        <f>1+H62</f>
        <v>50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91</v>
      </c>
      <c r="F64" s="481"/>
      <c r="G64" s="9"/>
      <c r="H64" s="480">
        <f>1+H63</f>
        <v>51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92</v>
      </c>
      <c r="F65" s="481"/>
      <c r="G65" s="9"/>
      <c r="H65" s="480">
        <f>1+H64</f>
        <v>52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93</v>
      </c>
      <c r="F66" s="481"/>
      <c r="G66" s="9"/>
      <c r="H66" s="480">
        <f>1+H65</f>
        <v>53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  <pageSetUpPr fitToPage="1"/>
  </sheetPr>
  <dimension ref="A1:IU102"/>
  <sheetViews>
    <sheetView topLeftCell="D4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«Аэропорт - СШ №3» г.Симферополь</v>
      </c>
      <c r="B1" s="576"/>
      <c r="C1" s="577" t="str">
        <f>IF(D11="","",VLOOKUP(D11,Список!B:O,12,FALSE))</f>
        <v>«Дрим Тим» г.Симферополь</v>
      </c>
      <c r="D1" s="578"/>
      <c r="E1" s="579">
        <v>21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21</v>
      </c>
      <c r="B2" s="13" t="str">
        <f>IF(A2="","",VLOOKUP(A2,Список!E:O,2,FALSE))</f>
        <v xml:space="preserve"> Павлина Сергей Станиславович</v>
      </c>
      <c r="C2" s="14">
        <f>IF($B$11="","",$D$11*10+1)</f>
        <v>41</v>
      </c>
      <c r="D2" s="15" t="str">
        <f>IF(C2="","",VLOOKUP(C2,Список!E:O,2,FALSE))</f>
        <v xml:space="preserve"> Гаврилов Денис Михайлович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22</v>
      </c>
      <c r="B3" s="13" t="str">
        <f>IF(A3="","",VLOOKUP(A3,Список!E:O,2,FALSE))</f>
        <v xml:space="preserve"> Банников Юрий Владимирович</v>
      </c>
      <c r="C3" s="14">
        <f>IF($B$11="","",$D$11*10+2)</f>
        <v>42</v>
      </c>
      <c r="D3" s="15" t="str">
        <f>IF(C3="","",VLOOKUP(C3,Список!E:O,2,FALSE))</f>
        <v xml:space="preserve"> Курило Игорь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23</v>
      </c>
      <c r="B4" s="13" t="str">
        <f>IF(A4="","",VLOOKUP(A4,Список!E:O,2,FALSE))</f>
        <v xml:space="preserve"> Лодыгин Владимир Вадимович</v>
      </c>
      <c r="C4" s="14">
        <f>IF($B$11="","",$D$11*10+3)</f>
        <v>43</v>
      </c>
      <c r="D4" s="15" t="str">
        <f>IF(C4="","",VLOOKUP(C4,Список!E:O,2,FALSE))</f>
        <v xml:space="preserve"> Длугоканский Андрей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24</v>
      </c>
      <c r="B5" s="13" t="str">
        <f>IF(A5="","",VLOOKUP(A5,Список!E:O,2,FALSE))</f>
        <v xml:space="preserve"> Соловей Юрий Анатольевич</v>
      </c>
      <c r="C5" s="14">
        <f>IF($B$11="","",$D$11*10+4)</f>
        <v>44</v>
      </c>
      <c r="D5" s="15" t="str">
        <f>IF(C5="","",VLOOKUP(C5,Список!E:O,2,FALSE))</f>
        <v xml:space="preserve"> Полтев Данил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25</v>
      </c>
      <c r="B6" s="13" t="str">
        <f>IF(A6="","",VLOOKUP(A6,Список!E:O,2,FALSE))</f>
        <v>-</v>
      </c>
      <c r="C6" s="14">
        <f>IF($B$11="","",$D$11*10+5)</f>
        <v>45</v>
      </c>
      <c r="D6" s="15" t="str">
        <f>IF(C6="","",VLOOKUP(C6,Список!E:O,2,FALSE))</f>
        <v xml:space="preserve"> Ткаченко Владимир Михайлович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26</v>
      </c>
      <c r="B7" s="13" t="str">
        <f>IF(A7="","",VLOOKUP(A7,Список!E:O,2,FALSE))</f>
        <v>-</v>
      </c>
      <c r="C7" s="14">
        <f>IF($B$11="","",$D$11*10+6)</f>
        <v>46</v>
      </c>
      <c r="D7" s="15" t="str">
        <f>IF(C7="","",VLOOKUP(C7,Список!E:O,2,FALSE))</f>
        <v xml:space="preserve"> Животов Дмитрий Викторович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27</v>
      </c>
      <c r="B8" s="13" t="str">
        <f>IF(A8="","",VLOOKUP(A8,Список!E:O,2,FALSE))</f>
        <v>-</v>
      </c>
      <c r="C8" s="14">
        <f>IF($B$11="","",$D$11*10+7)</f>
        <v>47</v>
      </c>
      <c r="D8" s="15" t="str">
        <f>IF(C8="","",VLOOKUP(C8,Список!E:O,2,FALSE))</f>
        <v xml:space="preserve"> Скоробогатов Евгений Петрович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«Аэропорт - СШ №3»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«Дрим Тим»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28</v>
      </c>
      <c r="B9" s="13" t="str">
        <f>IF(A9="","",VLOOKUP(A9,Список!E:O,2,FALSE))</f>
        <v>-</v>
      </c>
      <c r="C9" s="14">
        <f>IF($B$11="","",$D$11*10+8)</f>
        <v>48</v>
      </c>
      <c r="D9" s="15" t="str">
        <f>IF(C9="","",VLOOKUP(C9,Список!E:O,2,FALSE))</f>
        <v xml:space="preserve"> Скоробогатов Александр Евгеньевич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2</v>
      </c>
      <c r="C11" s="27" t="s">
        <v>18</v>
      </c>
      <c r="D11" s="29">
        <f>IF(B11="","",IF(B11=A13,C13,IF(B11=C13,A13,)))</f>
        <v>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«Аэропорт - СШ №3»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«Дрим Тим»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16:00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D12" s="25">
        <f>IF(B11="","",D11*10)</f>
        <v>40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2</v>
      </c>
      <c r="B13" s="566"/>
      <c r="C13" s="565">
        <f>IF($E$1="","",VLOOKUP($E$1,'Общее расписание'!$B:$V,3,FALSE))</f>
        <v>4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Банников Ю.В.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Скоробогатов Е.П.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5, встреча 21, 2 - 4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21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23</v>
      </c>
      <c r="C16" s="41" t="s">
        <v>35</v>
      </c>
      <c r="D16" s="40">
        <v>45</v>
      </c>
      <c r="E16" s="42"/>
      <c r="F16" s="42"/>
      <c r="G16" s="42"/>
      <c r="H16" s="42"/>
      <c r="I16" s="42"/>
      <c r="J16" s="43" t="str">
        <f>IF(E16="","",IF(E16="0",1000,IF(E16="-0",-1000,E16*1)))</f>
        <v/>
      </c>
      <c r="K16" s="43" t="str">
        <f>IF(F16="","",IF(F16="0",1000,IF(F16="-0",-1000,F16*1)))</f>
        <v/>
      </c>
      <c r="L16" s="43" t="str">
        <f>IF(G16="","",IF(G16="0",1000,IF(G16="-0",-1000,G16*1)))</f>
        <v/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 t="str">
        <f>IF(J16="","",IF(J16&gt;0,1,0))</f>
        <v/>
      </c>
      <c r="P16" s="44" t="str">
        <f t="shared" ref="P16:S20" si="0">IF(K16="","",IF(K16&gt;0,1,0))</f>
        <v/>
      </c>
      <c r="Q16" s="44" t="str">
        <f t="shared" si="0"/>
        <v/>
      </c>
      <c r="R16" s="44" t="str">
        <f t="shared" si="0"/>
        <v/>
      </c>
      <c r="S16" s="44" t="str">
        <f t="shared" si="0"/>
        <v/>
      </c>
      <c r="T16" s="45" t="str">
        <f t="shared" ref="T16:X20" si="1">IF(J16="","",IF(J16&lt;0,1,0))</f>
        <v/>
      </c>
      <c r="U16" s="45" t="str">
        <f t="shared" si="1"/>
        <v/>
      </c>
      <c r="V16" s="45" t="str">
        <f t="shared" si="1"/>
        <v/>
      </c>
      <c r="W16" s="45" t="str">
        <f t="shared" si="1"/>
        <v/>
      </c>
      <c r="X16" s="45" t="str">
        <f t="shared" si="1"/>
        <v/>
      </c>
      <c r="Y16" s="46" t="str">
        <f>IF(E16="","",SUM(O16:S16))</f>
        <v/>
      </c>
      <c r="Z16" s="46" t="str">
        <f>IF(E16="","",SUM(T16:X16))</f>
        <v/>
      </c>
      <c r="AA16" s="47" t="str">
        <f>IF(E16="","",IF(Y16&gt;Z16,1,0))</f>
        <v/>
      </c>
      <c r="AB16" s="48" t="str">
        <f>IF(E16="","",IF(Y16&lt;Z16,1,0))</f>
        <v/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Лодыгин Владимир Вадимович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Ткаченко Владимир Михайлович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 t="str">
        <f>IF(E16="","",IF(J16&gt;9,HQ16,HO16))</f>
        <v/>
      </c>
      <c r="EP16" s="320"/>
      <c r="EQ16" s="320"/>
      <c r="ER16" s="320"/>
      <c r="ES16" s="314" t="str">
        <f>IF(EO16="","","-")</f>
        <v/>
      </c>
      <c r="ET16" s="314"/>
      <c r="EU16" s="320" t="str">
        <f>IF(E16="","",IF(J16&lt;-9,HP16,HR16))</f>
        <v/>
      </c>
      <c r="EV16" s="320"/>
      <c r="EW16" s="320"/>
      <c r="EX16" s="321"/>
      <c r="EY16" s="322" t="str">
        <f>IF(F16="","",IF(K16&gt;9,HU16,HS16))</f>
        <v/>
      </c>
      <c r="EZ16" s="320"/>
      <c r="FA16" s="320"/>
      <c r="FB16" s="320"/>
      <c r="FC16" s="323" t="str">
        <f>IF(EY16="","","-")</f>
        <v/>
      </c>
      <c r="FD16" s="323"/>
      <c r="FE16" s="320" t="str">
        <f>IF(F16="","",IF(K16&lt;-9,HT16,HV16))</f>
        <v/>
      </c>
      <c r="FF16" s="320"/>
      <c r="FG16" s="320"/>
      <c r="FH16" s="321"/>
      <c r="FI16" s="322" t="str">
        <f>IF(G16="","",IF(L16&gt;9,HY16,HW16))</f>
        <v/>
      </c>
      <c r="FJ16" s="320"/>
      <c r="FK16" s="320"/>
      <c r="FL16" s="320"/>
      <c r="FM16" s="323" t="str">
        <f>IF(FI16="","","-")</f>
        <v/>
      </c>
      <c r="FN16" s="323"/>
      <c r="FO16" s="320" t="str">
        <f>IF(G16="","",IF(L16&lt;-9,HX16,HZ16))</f>
        <v/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 t="str">
        <f>Y16</f>
        <v/>
      </c>
      <c r="GN16" s="310"/>
      <c r="GO16" s="310"/>
      <c r="GP16" s="310"/>
      <c r="GQ16" s="310"/>
      <c r="GR16" s="310"/>
      <c r="GS16" s="311"/>
      <c r="GT16" s="312" t="str">
        <f>Z16</f>
        <v/>
      </c>
      <c r="GU16" s="310"/>
      <c r="GV16" s="310"/>
      <c r="GW16" s="310"/>
      <c r="GX16" s="310"/>
      <c r="GY16" s="310"/>
      <c r="GZ16" s="313"/>
      <c r="HA16" s="315" t="str">
        <f>AA16</f>
        <v/>
      </c>
      <c r="HB16" s="316"/>
      <c r="HC16" s="316"/>
      <c r="HD16" s="316"/>
      <c r="HE16" s="316"/>
      <c r="HF16" s="316"/>
      <c r="HG16" s="317"/>
      <c r="HH16" s="318" t="str">
        <f>AB16</f>
        <v/>
      </c>
      <c r="HI16" s="316"/>
      <c r="HJ16" s="316"/>
      <c r="HK16" s="316"/>
      <c r="HL16" s="316"/>
      <c r="HM16" s="316"/>
      <c r="HN16" s="319"/>
      <c r="HO16" s="49" t="str">
        <f>IF(E16="","",IF(J16=1000,11,IF(J16=-1000,0,IF(J16&gt;0,11,IF(J16&lt;0,(-J16),"0")))))</f>
        <v/>
      </c>
      <c r="HP16" s="50" t="str">
        <f>IF(E16="","",IF(J16=1000,0,IF(J16=-1000,11,IF(J16&lt;-9,-(J16-2),IF(J16&gt;0,(GU16),"0")))))</f>
        <v/>
      </c>
      <c r="HQ16" s="51" t="str">
        <f>IF(E16="","",IF(J16=1000,11,IF(J16=-1000,0,IF(J16&lt;9,11,IF(J16&gt;9,(J16+2),"0")))))</f>
        <v/>
      </c>
      <c r="HR16" s="52" t="str">
        <f>IF(E16="","",IF(J16=1000,0,IF(J16=-1000,11,IF(J16&lt;0,11,IF(J16&gt;0,(J16),"0")))))</f>
        <v/>
      </c>
      <c r="HS16" s="53" t="str">
        <f>IF(F16="","",IF(K16=1000,11,IF(K16=-1000,0,IF(K16&gt;0,11,IF(K16&lt;0,(-K16),"0")))))</f>
        <v/>
      </c>
      <c r="HT16" s="53" t="str">
        <f>IF(F16="","",IF(K16=1000,0,IF(K16=-1000,11,IF(K16&lt;-9,-(K16-2),IF(K16&gt;0,(GV16),"0")))))</f>
        <v/>
      </c>
      <c r="HU16" s="54" t="str">
        <f>IF(F16="","",IF(K16=1000,11,IF(K16=-1000,0,IF(K16&lt;9,11,IF(K16&gt;9,(K16+2),"0")))))</f>
        <v/>
      </c>
      <c r="HV16" s="54" t="str">
        <f>IF(F16="","",IF(K16=1000,0,IF(K16=-1000,11,IF(K16&lt;0,11,IF(K16&gt;0,(K16),"0")))))</f>
        <v/>
      </c>
      <c r="HW16" s="49" t="str">
        <f>IF(G16="","",IF(L16=1000,11,IF(L16=-1000,0,IF(L16&gt;0,11,IF(L16&lt;0,(-L16),"0")))))</f>
        <v/>
      </c>
      <c r="HX16" s="50" t="str">
        <f>IF(G16="","",IF(L16=1000,0,IF(L16=-1000,11,IF(L16&lt;-9,-(L16-2),IF(L16&gt;0,(GW16),"0")))))</f>
        <v/>
      </c>
      <c r="HY16" s="51" t="str">
        <f>IF(G16="","",IF(L16=1000,11,IF(L16=-1000,0,IF(L16&lt;9,11,IF(L16&gt;9,(L16+2),"0")))))</f>
        <v/>
      </c>
      <c r="HZ16" s="52" t="str">
        <f>IF(G16="","",IF(L16=1000,0,IF(L16=-1000,11,IF(L16&lt;0,11,IF(L16&gt;0,(L16),"0")))))</f>
        <v/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 t="str">
        <f>IF(E16="","",EO16*1)</f>
        <v/>
      </c>
      <c r="IJ16" s="56" t="str">
        <f>IF(F16="","",EY16*1)</f>
        <v/>
      </c>
      <c r="IK16" s="56" t="str">
        <f>IF(G16="","",FI16*1)</f>
        <v/>
      </c>
      <c r="IL16" s="56" t="str">
        <f>IF(H16="","",FS16*1)</f>
        <v/>
      </c>
      <c r="IM16" s="56" t="str">
        <f>IF(I16="","",GC16*1)</f>
        <v/>
      </c>
      <c r="IN16" s="57" t="str">
        <f>IF(E16="","",EU16*1)</f>
        <v/>
      </c>
      <c r="IO16" s="57" t="str">
        <f>IF(F16="","",FE16*1)</f>
        <v/>
      </c>
      <c r="IP16" s="57" t="str">
        <f>IF(G16="","",FO16*1)</f>
        <v/>
      </c>
      <c r="IQ16" s="57" t="str">
        <f>IF(H16="","",FY16*1)</f>
        <v/>
      </c>
      <c r="IR16" s="57" t="str">
        <f>IF(I16="","",GI16*1)</f>
        <v/>
      </c>
      <c r="IS16" s="58" t="str">
        <f>IF(E16="","",SUM(II16:IM16))</f>
        <v/>
      </c>
      <c r="IT16" s="58" t="str">
        <f>IF(E16="","",SUM(IN16:IR16))</f>
        <v/>
      </c>
    </row>
    <row r="17" spans="1:254" ht="30" customHeight="1" x14ac:dyDescent="0.35">
      <c r="A17" s="39" t="s">
        <v>18</v>
      </c>
      <c r="B17" s="40">
        <v>21</v>
      </c>
      <c r="C17" s="41" t="s">
        <v>34</v>
      </c>
      <c r="D17" s="40">
        <v>44</v>
      </c>
      <c r="E17" s="42"/>
      <c r="F17" s="42"/>
      <c r="G17" s="42"/>
      <c r="H17" s="42"/>
      <c r="I17" s="42"/>
      <c r="J17" s="43" t="str">
        <f t="shared" ref="J17:N20" si="2">IF(E17="","",IF(E17="0",1000,IF(E17="-0",-1000,E17*1)))</f>
        <v/>
      </c>
      <c r="K17" s="43" t="str">
        <f t="shared" si="2"/>
        <v/>
      </c>
      <c r="L17" s="43" t="str">
        <f t="shared" si="2"/>
        <v/>
      </c>
      <c r="M17" s="43" t="str">
        <f t="shared" si="2"/>
        <v/>
      </c>
      <c r="N17" s="43" t="str">
        <f t="shared" si="2"/>
        <v/>
      </c>
      <c r="O17" s="44" t="str">
        <f>IF(J17="","",IF(J17&gt;0,1,0))</f>
        <v/>
      </c>
      <c r="P17" s="44" t="str">
        <f t="shared" si="0"/>
        <v/>
      </c>
      <c r="Q17" s="44" t="str">
        <f t="shared" si="0"/>
        <v/>
      </c>
      <c r="R17" s="44" t="str">
        <f t="shared" si="0"/>
        <v/>
      </c>
      <c r="S17" s="44" t="str">
        <f t="shared" si="0"/>
        <v/>
      </c>
      <c r="T17" s="45" t="str">
        <f t="shared" si="1"/>
        <v/>
      </c>
      <c r="U17" s="45" t="str">
        <f t="shared" si="1"/>
        <v/>
      </c>
      <c r="V17" s="45" t="str">
        <f t="shared" si="1"/>
        <v/>
      </c>
      <c r="W17" s="45" t="str">
        <f t="shared" si="1"/>
        <v/>
      </c>
      <c r="X17" s="45" t="str">
        <f t="shared" si="1"/>
        <v/>
      </c>
      <c r="Y17" s="46" t="str">
        <f>IF(E17="","",SUM(O17:S17))</f>
        <v/>
      </c>
      <c r="Z17" s="46" t="str">
        <f>IF(E17="","",SUM(T17:X17))</f>
        <v/>
      </c>
      <c r="AA17" s="47" t="str">
        <f>IF(E17="","",IF(Y17&gt;Z17,1,0))</f>
        <v/>
      </c>
      <c r="AB17" s="48" t="str">
        <f>IF(E17="","",IF(Y17&lt;Z17,1,0))</f>
        <v/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Павлина Сергей Станиславович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Полтев Данил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 t="str">
        <f>IF(E17="","",IF(J17&gt;9,HQ17,HO17))</f>
        <v/>
      </c>
      <c r="EP17" s="255"/>
      <c r="EQ17" s="255"/>
      <c r="ER17" s="255"/>
      <c r="ES17" s="297" t="str">
        <f>IF(EO17="","","-")</f>
        <v/>
      </c>
      <c r="ET17" s="297"/>
      <c r="EU17" s="255" t="str">
        <f>IF(E17="","",IF(J17&lt;-9,HP17,HR17))</f>
        <v/>
      </c>
      <c r="EV17" s="255"/>
      <c r="EW17" s="255"/>
      <c r="EX17" s="256"/>
      <c r="EY17" s="257" t="str">
        <f>IF(F17="","",IF(K17&gt;9,HU17,HS17))</f>
        <v/>
      </c>
      <c r="EZ17" s="255"/>
      <c r="FA17" s="255"/>
      <c r="FB17" s="255"/>
      <c r="FC17" s="254" t="str">
        <f>IF(EY17="","","-")</f>
        <v/>
      </c>
      <c r="FD17" s="254"/>
      <c r="FE17" s="255" t="str">
        <f>IF(F17="","",IF(K17&lt;-9,HT17,HV17))</f>
        <v/>
      </c>
      <c r="FF17" s="255"/>
      <c r="FG17" s="255"/>
      <c r="FH17" s="256"/>
      <c r="FI17" s="257" t="str">
        <f>IF(G17="","",IF(L17&gt;9,HY17,HW17))</f>
        <v/>
      </c>
      <c r="FJ17" s="255"/>
      <c r="FK17" s="255"/>
      <c r="FL17" s="255"/>
      <c r="FM17" s="254" t="str">
        <f>IF(FI17="","","-")</f>
        <v/>
      </c>
      <c r="FN17" s="254"/>
      <c r="FO17" s="255" t="str">
        <f>IF(G17="","",IF(L17&lt;-9,HX17,HZ17))</f>
        <v/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 t="str">
        <f>Y17</f>
        <v/>
      </c>
      <c r="GN17" s="247"/>
      <c r="GO17" s="247"/>
      <c r="GP17" s="247"/>
      <c r="GQ17" s="247"/>
      <c r="GR17" s="247"/>
      <c r="GS17" s="304"/>
      <c r="GT17" s="246" t="str">
        <f>Z17</f>
        <v/>
      </c>
      <c r="GU17" s="247"/>
      <c r="GV17" s="247"/>
      <c r="GW17" s="247"/>
      <c r="GX17" s="247"/>
      <c r="GY17" s="247"/>
      <c r="GZ17" s="248"/>
      <c r="HA17" s="249" t="str">
        <f>AA17</f>
        <v/>
      </c>
      <c r="HB17" s="250"/>
      <c r="HC17" s="250"/>
      <c r="HD17" s="250"/>
      <c r="HE17" s="250"/>
      <c r="HF17" s="250"/>
      <c r="HG17" s="251"/>
      <c r="HH17" s="252" t="str">
        <f>AB17</f>
        <v/>
      </c>
      <c r="HI17" s="250"/>
      <c r="HJ17" s="250"/>
      <c r="HK17" s="250"/>
      <c r="HL17" s="250"/>
      <c r="HM17" s="250"/>
      <c r="HN17" s="253"/>
      <c r="HO17" s="49" t="str">
        <f>IF(E17="","",IF(J17=1000,11,IF(J17=-1000,0,IF(J17&gt;0,11,IF(J17&lt;0,(-J17),"0")))))</f>
        <v/>
      </c>
      <c r="HP17" s="50" t="str">
        <f>IF(E17="","",IF(J17=1000,0,IF(J17=-1000,11,IF(J17&lt;-9,-(J17-2),IF(J17&gt;0,(GU17),"0")))))</f>
        <v/>
      </c>
      <c r="HQ17" s="51" t="str">
        <f>IF(E17="","",IF(J17=1000,11,IF(J17=-1000,0,IF(J17&lt;9,11,IF(J17&gt;9,(J17+2),"0")))))</f>
        <v/>
      </c>
      <c r="HR17" s="52" t="str">
        <f>IF(E17="","",IF(J17=1000,0,IF(J17=-1000,11,IF(J17&lt;0,11,IF(J17&gt;0,(J17),"0")))))</f>
        <v/>
      </c>
      <c r="HS17" s="53" t="str">
        <f>IF(F17="","",IF(K17=1000,11,IF(K17=-1000,0,IF(K17&gt;0,11,IF(K17&lt;0,(-K17),"0")))))</f>
        <v/>
      </c>
      <c r="HT17" s="53" t="str">
        <f>IF(F17="","",IF(K17=1000,0,IF(K17=-1000,11,IF(K17&lt;-9,-(K17-2),IF(K17&gt;0,(GV17),"0")))))</f>
        <v/>
      </c>
      <c r="HU17" s="54" t="str">
        <f>IF(F17="","",IF(K17=1000,11,IF(K17=-1000,0,IF(K17&lt;9,11,IF(K17&gt;9,(K17+2),"0")))))</f>
        <v/>
      </c>
      <c r="HV17" s="54" t="str">
        <f>IF(F17="","",IF(K17=1000,0,IF(K17=-1000,11,IF(K17&lt;0,11,IF(K17&gt;0,(K17),"0")))))</f>
        <v/>
      </c>
      <c r="HW17" s="49" t="str">
        <f>IF(G17="","",IF(L17=1000,11,IF(L17=-1000,0,IF(L17&gt;0,11,IF(L17&lt;0,(-L17),"0")))))</f>
        <v/>
      </c>
      <c r="HX17" s="50" t="str">
        <f>IF(G17="","",IF(L17=1000,0,IF(L17=-1000,11,IF(L17&lt;-9,-(L17-2),IF(L17&gt;0,(GW17),"0")))))</f>
        <v/>
      </c>
      <c r="HY17" s="51" t="str">
        <f>IF(G17="","",IF(L17=1000,11,IF(L17=-1000,0,IF(L17&lt;9,11,IF(L17&gt;9,(L17+2),"0")))))</f>
        <v/>
      </c>
      <c r="HZ17" s="52" t="str">
        <f>IF(G17="","",IF(L17=1000,0,IF(L17=-1000,11,IF(L17&lt;0,11,IF(L17&gt;0,(L17),"0")))))</f>
        <v/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 t="str">
        <f>IF(E17="","",EO17*1)</f>
        <v/>
      </c>
      <c r="IJ17" s="56" t="str">
        <f>IF(F17="","",EY17*1)</f>
        <v/>
      </c>
      <c r="IK17" s="56" t="str">
        <f>IF(G17="","",FI17*1)</f>
        <v/>
      </c>
      <c r="IL17" s="56" t="str">
        <f>IF(H17="","",FS17*1)</f>
        <v/>
      </c>
      <c r="IM17" s="56" t="str">
        <f>IF(I17="","",GC17*1)</f>
        <v/>
      </c>
      <c r="IN17" s="57" t="str">
        <f>IF(E17="","",EU17*1)</f>
        <v/>
      </c>
      <c r="IO17" s="57" t="str">
        <f>IF(F17="","",FE17*1)</f>
        <v/>
      </c>
      <c r="IP17" s="57" t="str">
        <f>IF(G17="","",FO17*1)</f>
        <v/>
      </c>
      <c r="IQ17" s="57" t="str">
        <f>IF(H17="","",FY17*1)</f>
        <v/>
      </c>
      <c r="IR17" s="57" t="str">
        <f>IF(I17="","",GI17*1)</f>
        <v/>
      </c>
      <c r="IS17" s="58" t="str">
        <f>IF(E17="","",SUM(II17:IM17))</f>
        <v/>
      </c>
      <c r="IT17" s="58" t="str">
        <f>IF(E17="","",SUM(IN17:IR17))</f>
        <v/>
      </c>
    </row>
    <row r="18" spans="1:254" ht="30" customHeight="1" x14ac:dyDescent="0.2">
      <c r="A18" s="39" t="s">
        <v>36</v>
      </c>
      <c r="B18" s="40">
        <v>22</v>
      </c>
      <c r="C18" s="41" t="s">
        <v>37</v>
      </c>
      <c r="D18" s="40">
        <v>43</v>
      </c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Банников Юрий Владимирович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Длугоканский Андрей Александрович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23</v>
      </c>
      <c r="C19" s="41" t="s">
        <v>34</v>
      </c>
      <c r="D19" s="59">
        <f>IF(D17=0,"",D17)</f>
        <v>44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Лодыгин Владимир Вадимович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Полтев Данил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21</v>
      </c>
      <c r="C20" s="41" t="s">
        <v>35</v>
      </c>
      <c r="D20" s="59">
        <f>IF(D16=0,"",D16)</f>
        <v>45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Павлина Сергей Станиславович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Ткаченко Владимир Михайлович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 t="str">
        <f>IF(E16="","",SUM(GM16:GS20))</f>
        <v/>
      </c>
      <c r="GN21" s="222"/>
      <c r="GO21" s="222"/>
      <c r="GP21" s="222"/>
      <c r="GQ21" s="222"/>
      <c r="GR21" s="222"/>
      <c r="GS21" s="223"/>
      <c r="GT21" s="224" t="str">
        <f>IF(E16="","",SUM(GT16:GZ20))</f>
        <v/>
      </c>
      <c r="GU21" s="225"/>
      <c r="GV21" s="225"/>
      <c r="GW21" s="225"/>
      <c r="GX21" s="225"/>
      <c r="GY21" s="225"/>
      <c r="GZ21" s="226"/>
      <c r="HA21" s="227" t="str">
        <f>IF(E16="","",SUM(HA16:HG20))</f>
        <v/>
      </c>
      <c r="HB21" s="228"/>
      <c r="HC21" s="228"/>
      <c r="HD21" s="228"/>
      <c r="HE21" s="228"/>
      <c r="HF21" s="228"/>
      <c r="HG21" s="229"/>
      <c r="HH21" s="230" t="str">
        <f>IF(E16="","",SUM(HH16:HN20))</f>
        <v/>
      </c>
      <c r="HI21" s="228"/>
      <c r="HJ21" s="228"/>
      <c r="HK21" s="228"/>
      <c r="HL21" s="228"/>
      <c r="HM21" s="228"/>
      <c r="HN21" s="231"/>
      <c r="IS21" s="64" t="str">
        <f>IF(E16="","",SUM(IS16:IS20))</f>
        <v/>
      </c>
      <c r="IT21" s="65" t="str">
        <f>IF(E16="","",SUM(IT16:IT20))</f>
        <v/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21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«Аэропорт - СШ №3»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«Дрим Тим»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22</v>
      </c>
      <c r="F57" s="481"/>
      <c r="G57" s="9"/>
      <c r="H57" s="480">
        <f>C2</f>
        <v>41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23</v>
      </c>
      <c r="F58" s="481"/>
      <c r="G58" s="9"/>
      <c r="H58" s="480">
        <f>C4</f>
        <v>43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26</v>
      </c>
      <c r="F59" s="481"/>
      <c r="G59" s="9"/>
      <c r="H59" s="480">
        <f>C7</f>
        <v>46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27</v>
      </c>
      <c r="F60" s="481"/>
      <c r="G60" s="9"/>
      <c r="H60" s="480">
        <f>C8</f>
        <v>47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28</v>
      </c>
      <c r="F61" s="481"/>
      <c r="G61" s="9"/>
      <c r="H61" s="480">
        <f>C9</f>
        <v>48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29</v>
      </c>
      <c r="F62" s="481"/>
      <c r="G62" s="9"/>
      <c r="H62" s="480">
        <f>1+H61</f>
        <v>49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30</v>
      </c>
      <c r="F63" s="481"/>
      <c r="G63" s="9"/>
      <c r="H63" s="480">
        <f>1+H62</f>
        <v>50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31</v>
      </c>
      <c r="F64" s="481"/>
      <c r="G64" s="9"/>
      <c r="H64" s="480">
        <f>1+H63</f>
        <v>51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32</v>
      </c>
      <c r="F65" s="481"/>
      <c r="G65" s="9"/>
      <c r="H65" s="480">
        <f>1+H64</f>
        <v>52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33</v>
      </c>
      <c r="F66" s="481"/>
      <c r="G66" s="9"/>
      <c r="H66" s="480">
        <f>1+H65</f>
        <v>53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B050"/>
    <pageSetUpPr fitToPage="1"/>
  </sheetPr>
  <dimension ref="A1:IU102"/>
  <sheetViews>
    <sheetView topLeftCell="F1"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"РУСИЧИ" г.Симферополь</v>
      </c>
      <c r="B1" s="576"/>
      <c r="C1" s="577" t="str">
        <f>IF(D11="","",VLOOKUP(D11,Список!B:O,12,FALSE))</f>
        <v>«Рассвет» г.Симферополь</v>
      </c>
      <c r="D1" s="578"/>
      <c r="E1" s="579">
        <v>22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11</v>
      </c>
      <c r="B2" s="13" t="str">
        <f>IF(A2="","",VLOOKUP(A2,Список!E:O,2,FALSE))</f>
        <v xml:space="preserve"> Кривошеев Вячеслав Александрович</v>
      </c>
      <c r="C2" s="14">
        <f>IF($B$11="","",$D$11*10+1)</f>
        <v>51</v>
      </c>
      <c r="D2" s="15" t="str">
        <f>IF(C2="","",VLOOKUP(C2,Список!E:O,2,FALSE))</f>
        <v xml:space="preserve"> Пикульский Никита Петрович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12</v>
      </c>
      <c r="B3" s="13" t="str">
        <f>IF(A3="","",VLOOKUP(A3,Список!E:O,2,FALSE))</f>
        <v xml:space="preserve"> Панченко Артем Иванович</v>
      </c>
      <c r="C3" s="14">
        <f>IF($B$11="","",$D$11*10+2)</f>
        <v>52</v>
      </c>
      <c r="D3" s="15" t="str">
        <f>IF(C3="","",VLOOKUP(C3,Список!E:O,2,FALSE))</f>
        <v xml:space="preserve"> Третьяков Олег Маратович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13</v>
      </c>
      <c r="B4" s="13" t="str">
        <f>IF(A4="","",VLOOKUP(A4,Список!E:O,2,FALSE))</f>
        <v xml:space="preserve"> Исаков Илья Павлович</v>
      </c>
      <c r="C4" s="14">
        <f>IF($B$11="","",$D$11*10+3)</f>
        <v>53</v>
      </c>
      <c r="D4" s="15" t="str">
        <f>IF(C4="","",VLOOKUP(C4,Список!E:O,2,FALSE))</f>
        <v xml:space="preserve"> Рехтин Андрей Павлович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14</v>
      </c>
      <c r="B5" s="13" t="str">
        <f>IF(A5="","",VLOOKUP(A5,Список!E:O,2,FALSE))</f>
        <v xml:space="preserve"> Масовер Андрей Ромазанович</v>
      </c>
      <c r="C5" s="14">
        <f>IF($B$11="","",$D$11*10+4)</f>
        <v>54</v>
      </c>
      <c r="D5" s="15" t="str">
        <f>IF(C5="","",VLOOKUP(C5,Список!E:O,2,FALSE))</f>
        <v xml:space="preserve"> Алёшкин Дмитрий Сергеевич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15</v>
      </c>
      <c r="B6" s="13" t="str">
        <f>IF(A6="","",VLOOKUP(A6,Список!E:O,2,FALSE))</f>
        <v xml:space="preserve"> Губанов Никита Сергеевич</v>
      </c>
      <c r="C6" s="14">
        <f>IF($B$11="","",$D$11*10+5)</f>
        <v>55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16</v>
      </c>
      <c r="B7" s="13" t="str">
        <f>IF(A7="","",VLOOKUP(A7,Список!E:O,2,FALSE))</f>
        <v xml:space="preserve"> Зайцев Игорь Владимирович</v>
      </c>
      <c r="C7" s="14">
        <f>IF($B$11="","",$D$11*10+6)</f>
        <v>56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17</v>
      </c>
      <c r="B8" s="13" t="str">
        <f>IF(A8="","",VLOOKUP(A8,Список!E:O,2,FALSE))</f>
        <v xml:space="preserve"> Щепетнев Дмитрий Владимирович</v>
      </c>
      <c r="C8" s="14">
        <f>IF($B$11="","",$D$11*10+7)</f>
        <v>57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"РУСИЧИ"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«Рассвет»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18</v>
      </c>
      <c r="B9" s="13" t="str">
        <f>IF(A9="","",VLOOKUP(A9,Список!E:O,2,FALSE))</f>
        <v xml:space="preserve"> Панков Леонид Александрович</v>
      </c>
      <c r="C9" s="14">
        <f>IF($B$11="","",$D$11*10+8)</f>
        <v>58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1</v>
      </c>
      <c r="C11" s="27" t="s">
        <v>18</v>
      </c>
      <c r="D11" s="29">
        <f>IF(B11="","",IF(B11=A13,C13,IF(B11=C13,A13,)))</f>
        <v>5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"РУСИЧИ"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«Рассвет»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16:00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10</v>
      </c>
      <c r="D12" s="25">
        <f>IF(B11="","",D11*10)</f>
        <v>50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1</v>
      </c>
      <c r="B13" s="566"/>
      <c r="C13" s="565">
        <f>IF($E$1="","",VLOOKUP($E$1,'Общее расписание'!$B:$V,3,FALSE))</f>
        <v>5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Панков Л.А.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Пикульский Н., Третьяков О.М.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5, встреча 22, 1 - 5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22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 t="s">
        <v>94</v>
      </c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17</v>
      </c>
      <c r="C16" s="41" t="s">
        <v>35</v>
      </c>
      <c r="D16" s="40">
        <v>52</v>
      </c>
      <c r="E16" s="42"/>
      <c r="F16" s="42"/>
      <c r="G16" s="42"/>
      <c r="H16" s="42"/>
      <c r="I16" s="42"/>
      <c r="J16" s="43" t="str">
        <f>IF(E16="","",IF(E16="0",1000,IF(E16="-0",-1000,E16*1)))</f>
        <v/>
      </c>
      <c r="K16" s="43" t="str">
        <f>IF(F16="","",IF(F16="0",1000,IF(F16="-0",-1000,F16*1)))</f>
        <v/>
      </c>
      <c r="L16" s="43" t="str">
        <f>IF(G16="","",IF(G16="0",1000,IF(G16="-0",-1000,G16*1)))</f>
        <v/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 t="str">
        <f>IF(J16="","",IF(J16&gt;0,1,0))</f>
        <v/>
      </c>
      <c r="P16" s="44" t="str">
        <f t="shared" ref="P16:S20" si="0">IF(K16="","",IF(K16&gt;0,1,0))</f>
        <v/>
      </c>
      <c r="Q16" s="44" t="str">
        <f t="shared" si="0"/>
        <v/>
      </c>
      <c r="R16" s="44" t="str">
        <f t="shared" si="0"/>
        <v/>
      </c>
      <c r="S16" s="44" t="str">
        <f t="shared" si="0"/>
        <v/>
      </c>
      <c r="T16" s="45" t="str">
        <f t="shared" ref="T16:X20" si="1">IF(J16="","",IF(J16&lt;0,1,0))</f>
        <v/>
      </c>
      <c r="U16" s="45" t="str">
        <f t="shared" si="1"/>
        <v/>
      </c>
      <c r="V16" s="45" t="str">
        <f t="shared" si="1"/>
        <v/>
      </c>
      <c r="W16" s="45" t="str">
        <f t="shared" si="1"/>
        <v/>
      </c>
      <c r="X16" s="45" t="str">
        <f t="shared" si="1"/>
        <v/>
      </c>
      <c r="Y16" s="46" t="str">
        <f>IF(E16="","",SUM(O16:S16))</f>
        <v/>
      </c>
      <c r="Z16" s="46" t="str">
        <f>IF(E16="","",SUM(T16:X16))</f>
        <v/>
      </c>
      <c r="AA16" s="47" t="str">
        <f>IF(E16="","",IF(Y16&gt;Z16,1,0))</f>
        <v/>
      </c>
      <c r="AB16" s="48" t="str">
        <f>IF(E16="","",IF(Y16&lt;Z16,1,0))</f>
        <v/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Щепетнев Дмитрий Владимирович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Третьяков Олег Маратович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 t="str">
        <f>IF(E16="","",IF(J16&gt;9,HQ16,HO16))</f>
        <v/>
      </c>
      <c r="EP16" s="320"/>
      <c r="EQ16" s="320"/>
      <c r="ER16" s="320"/>
      <c r="ES16" s="314" t="str">
        <f>IF(EO16="","","-")</f>
        <v/>
      </c>
      <c r="ET16" s="314"/>
      <c r="EU16" s="320" t="str">
        <f>IF(E16="","",IF(J16&lt;-9,HP16,HR16))</f>
        <v/>
      </c>
      <c r="EV16" s="320"/>
      <c r="EW16" s="320"/>
      <c r="EX16" s="321"/>
      <c r="EY16" s="322" t="str">
        <f>IF(F16="","",IF(K16&gt;9,HU16,HS16))</f>
        <v/>
      </c>
      <c r="EZ16" s="320"/>
      <c r="FA16" s="320"/>
      <c r="FB16" s="320"/>
      <c r="FC16" s="323" t="str">
        <f>IF(EY16="","","-")</f>
        <v/>
      </c>
      <c r="FD16" s="323"/>
      <c r="FE16" s="320" t="str">
        <f>IF(F16="","",IF(K16&lt;-9,HT16,HV16))</f>
        <v/>
      </c>
      <c r="FF16" s="320"/>
      <c r="FG16" s="320"/>
      <c r="FH16" s="321"/>
      <c r="FI16" s="322" t="str">
        <f>IF(G16="","",IF(L16&gt;9,HY16,HW16))</f>
        <v/>
      </c>
      <c r="FJ16" s="320"/>
      <c r="FK16" s="320"/>
      <c r="FL16" s="320"/>
      <c r="FM16" s="323" t="str">
        <f>IF(FI16="","","-")</f>
        <v/>
      </c>
      <c r="FN16" s="323"/>
      <c r="FO16" s="320" t="str">
        <f>IF(G16="","",IF(L16&lt;-9,HX16,HZ16))</f>
        <v/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 t="str">
        <f>Y16</f>
        <v/>
      </c>
      <c r="GN16" s="310"/>
      <c r="GO16" s="310"/>
      <c r="GP16" s="310"/>
      <c r="GQ16" s="310"/>
      <c r="GR16" s="310"/>
      <c r="GS16" s="311"/>
      <c r="GT16" s="312" t="str">
        <f>Z16</f>
        <v/>
      </c>
      <c r="GU16" s="310"/>
      <c r="GV16" s="310"/>
      <c r="GW16" s="310"/>
      <c r="GX16" s="310"/>
      <c r="GY16" s="310"/>
      <c r="GZ16" s="313"/>
      <c r="HA16" s="315" t="str">
        <f>AA16</f>
        <v/>
      </c>
      <c r="HB16" s="316"/>
      <c r="HC16" s="316"/>
      <c r="HD16" s="316"/>
      <c r="HE16" s="316"/>
      <c r="HF16" s="316"/>
      <c r="HG16" s="317"/>
      <c r="HH16" s="318" t="str">
        <f>AB16</f>
        <v/>
      </c>
      <c r="HI16" s="316"/>
      <c r="HJ16" s="316"/>
      <c r="HK16" s="316"/>
      <c r="HL16" s="316"/>
      <c r="HM16" s="316"/>
      <c r="HN16" s="319"/>
      <c r="HO16" s="49" t="str">
        <f>IF(E16="","",IF(J16=1000,11,IF(J16=-1000,0,IF(J16&gt;0,11,IF(J16&lt;0,(-J16),"0")))))</f>
        <v/>
      </c>
      <c r="HP16" s="50" t="str">
        <f>IF(E16="","",IF(J16=1000,0,IF(J16=-1000,11,IF(J16&lt;-9,-(J16-2),IF(J16&gt;0,(GU16),"0")))))</f>
        <v/>
      </c>
      <c r="HQ16" s="51" t="str">
        <f>IF(E16="","",IF(J16=1000,11,IF(J16=-1000,0,IF(J16&lt;9,11,IF(J16&gt;9,(J16+2),"0")))))</f>
        <v/>
      </c>
      <c r="HR16" s="52" t="str">
        <f>IF(E16="","",IF(J16=1000,0,IF(J16=-1000,11,IF(J16&lt;0,11,IF(J16&gt;0,(J16),"0")))))</f>
        <v/>
      </c>
      <c r="HS16" s="53" t="str">
        <f>IF(F16="","",IF(K16=1000,11,IF(K16=-1000,0,IF(K16&gt;0,11,IF(K16&lt;0,(-K16),"0")))))</f>
        <v/>
      </c>
      <c r="HT16" s="53" t="str">
        <f>IF(F16="","",IF(K16=1000,0,IF(K16=-1000,11,IF(K16&lt;-9,-(K16-2),IF(K16&gt;0,(GV16),"0")))))</f>
        <v/>
      </c>
      <c r="HU16" s="54" t="str">
        <f>IF(F16="","",IF(K16=1000,11,IF(K16=-1000,0,IF(K16&lt;9,11,IF(K16&gt;9,(K16+2),"0")))))</f>
        <v/>
      </c>
      <c r="HV16" s="54" t="str">
        <f>IF(F16="","",IF(K16=1000,0,IF(K16=-1000,11,IF(K16&lt;0,11,IF(K16&gt;0,(K16),"0")))))</f>
        <v/>
      </c>
      <c r="HW16" s="49" t="str">
        <f>IF(G16="","",IF(L16=1000,11,IF(L16=-1000,0,IF(L16&gt;0,11,IF(L16&lt;0,(-L16),"0")))))</f>
        <v/>
      </c>
      <c r="HX16" s="50" t="str">
        <f>IF(G16="","",IF(L16=1000,0,IF(L16=-1000,11,IF(L16&lt;-9,-(L16-2),IF(L16&gt;0,(GW16),"0")))))</f>
        <v/>
      </c>
      <c r="HY16" s="51" t="str">
        <f>IF(G16="","",IF(L16=1000,11,IF(L16=-1000,0,IF(L16&lt;9,11,IF(L16&gt;9,(L16+2),"0")))))</f>
        <v/>
      </c>
      <c r="HZ16" s="52" t="str">
        <f>IF(G16="","",IF(L16=1000,0,IF(L16=-1000,11,IF(L16&lt;0,11,IF(L16&gt;0,(L16),"0")))))</f>
        <v/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 t="str">
        <f>IF(E16="","",EO16*1)</f>
        <v/>
      </c>
      <c r="IJ16" s="56" t="str">
        <f>IF(F16="","",EY16*1)</f>
        <v/>
      </c>
      <c r="IK16" s="56" t="str">
        <f>IF(G16="","",FI16*1)</f>
        <v/>
      </c>
      <c r="IL16" s="56" t="str">
        <f>IF(H16="","",FS16*1)</f>
        <v/>
      </c>
      <c r="IM16" s="56" t="str">
        <f>IF(I16="","",GC16*1)</f>
        <v/>
      </c>
      <c r="IN16" s="57" t="str">
        <f>IF(E16="","",EU16*1)</f>
        <v/>
      </c>
      <c r="IO16" s="57" t="str">
        <f>IF(F16="","",FE16*1)</f>
        <v/>
      </c>
      <c r="IP16" s="57" t="str">
        <f>IF(G16="","",FO16*1)</f>
        <v/>
      </c>
      <c r="IQ16" s="57" t="str">
        <f>IF(H16="","",FY16*1)</f>
        <v/>
      </c>
      <c r="IR16" s="57" t="str">
        <f>IF(I16="","",GI16*1)</f>
        <v/>
      </c>
      <c r="IS16" s="58" t="str">
        <f>IF(E16="","",SUM(II16:IM16))</f>
        <v/>
      </c>
      <c r="IT16" s="58" t="str">
        <f>IF(E16="","",SUM(IN16:IR16))</f>
        <v/>
      </c>
    </row>
    <row r="17" spans="1:254" ht="30" customHeight="1" x14ac:dyDescent="0.35">
      <c r="A17" s="39" t="s">
        <v>18</v>
      </c>
      <c r="B17" s="40">
        <v>14</v>
      </c>
      <c r="C17" s="41" t="s">
        <v>34</v>
      </c>
      <c r="D17" s="40">
        <v>53</v>
      </c>
      <c r="E17" s="42"/>
      <c r="F17" s="42"/>
      <c r="G17" s="42"/>
      <c r="H17" s="42"/>
      <c r="I17" s="42"/>
      <c r="J17" s="43" t="str">
        <f t="shared" ref="J17:N20" si="2">IF(E17="","",IF(E17="0",1000,IF(E17="-0",-1000,E17*1)))</f>
        <v/>
      </c>
      <c r="K17" s="43" t="str">
        <f t="shared" si="2"/>
        <v/>
      </c>
      <c r="L17" s="43" t="str">
        <f t="shared" si="2"/>
        <v/>
      </c>
      <c r="M17" s="43" t="str">
        <f t="shared" si="2"/>
        <v/>
      </c>
      <c r="N17" s="43" t="str">
        <f t="shared" si="2"/>
        <v/>
      </c>
      <c r="O17" s="44" t="str">
        <f>IF(J17="","",IF(J17&gt;0,1,0))</f>
        <v/>
      </c>
      <c r="P17" s="44" t="str">
        <f t="shared" si="0"/>
        <v/>
      </c>
      <c r="Q17" s="44" t="str">
        <f t="shared" si="0"/>
        <v/>
      </c>
      <c r="R17" s="44" t="str">
        <f t="shared" si="0"/>
        <v/>
      </c>
      <c r="S17" s="44" t="str">
        <f t="shared" si="0"/>
        <v/>
      </c>
      <c r="T17" s="45" t="str">
        <f t="shared" si="1"/>
        <v/>
      </c>
      <c r="U17" s="45" t="str">
        <f t="shared" si="1"/>
        <v/>
      </c>
      <c r="V17" s="45" t="str">
        <f t="shared" si="1"/>
        <v/>
      </c>
      <c r="W17" s="45" t="str">
        <f t="shared" si="1"/>
        <v/>
      </c>
      <c r="X17" s="45" t="str">
        <f t="shared" si="1"/>
        <v/>
      </c>
      <c r="Y17" s="46" t="str">
        <f>IF(E17="","",SUM(O17:S17))</f>
        <v/>
      </c>
      <c r="Z17" s="46" t="str">
        <f>IF(E17="","",SUM(T17:X17))</f>
        <v/>
      </c>
      <c r="AA17" s="47" t="str">
        <f>IF(E17="","",IF(Y17&gt;Z17,1,0))</f>
        <v/>
      </c>
      <c r="AB17" s="48" t="str">
        <f>IF(E17="","",IF(Y17&lt;Z17,1,0))</f>
        <v/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Масовер Андрей Ромазанович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Рехтин Андрей Павлович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 t="str">
        <f>IF(E17="","",IF(J17&gt;9,HQ17,HO17))</f>
        <v/>
      </c>
      <c r="EP17" s="255"/>
      <c r="EQ17" s="255"/>
      <c r="ER17" s="255"/>
      <c r="ES17" s="297" t="str">
        <f>IF(EO17="","","-")</f>
        <v/>
      </c>
      <c r="ET17" s="297"/>
      <c r="EU17" s="255" t="str">
        <f>IF(E17="","",IF(J17&lt;-9,HP17,HR17))</f>
        <v/>
      </c>
      <c r="EV17" s="255"/>
      <c r="EW17" s="255"/>
      <c r="EX17" s="256"/>
      <c r="EY17" s="257" t="str">
        <f>IF(F17="","",IF(K17&gt;9,HU17,HS17))</f>
        <v/>
      </c>
      <c r="EZ17" s="255"/>
      <c r="FA17" s="255"/>
      <c r="FB17" s="255"/>
      <c r="FC17" s="254" t="str">
        <f>IF(EY17="","","-")</f>
        <v/>
      </c>
      <c r="FD17" s="254"/>
      <c r="FE17" s="255" t="str">
        <f>IF(F17="","",IF(K17&lt;-9,HT17,HV17))</f>
        <v/>
      </c>
      <c r="FF17" s="255"/>
      <c r="FG17" s="255"/>
      <c r="FH17" s="256"/>
      <c r="FI17" s="257" t="str">
        <f>IF(G17="","",IF(L17&gt;9,HY17,HW17))</f>
        <v/>
      </c>
      <c r="FJ17" s="255"/>
      <c r="FK17" s="255"/>
      <c r="FL17" s="255"/>
      <c r="FM17" s="254" t="str">
        <f>IF(FI17="","","-")</f>
        <v/>
      </c>
      <c r="FN17" s="254"/>
      <c r="FO17" s="255" t="str">
        <f>IF(G17="","",IF(L17&lt;-9,HX17,HZ17))</f>
        <v/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 t="str">
        <f>Y17</f>
        <v/>
      </c>
      <c r="GN17" s="247"/>
      <c r="GO17" s="247"/>
      <c r="GP17" s="247"/>
      <c r="GQ17" s="247"/>
      <c r="GR17" s="247"/>
      <c r="GS17" s="304"/>
      <c r="GT17" s="246" t="str">
        <f>Z17</f>
        <v/>
      </c>
      <c r="GU17" s="247"/>
      <c r="GV17" s="247"/>
      <c r="GW17" s="247"/>
      <c r="GX17" s="247"/>
      <c r="GY17" s="247"/>
      <c r="GZ17" s="248"/>
      <c r="HA17" s="249" t="str">
        <f>AA17</f>
        <v/>
      </c>
      <c r="HB17" s="250"/>
      <c r="HC17" s="250"/>
      <c r="HD17" s="250"/>
      <c r="HE17" s="250"/>
      <c r="HF17" s="250"/>
      <c r="HG17" s="251"/>
      <c r="HH17" s="252" t="str">
        <f>AB17</f>
        <v/>
      </c>
      <c r="HI17" s="250"/>
      <c r="HJ17" s="250"/>
      <c r="HK17" s="250"/>
      <c r="HL17" s="250"/>
      <c r="HM17" s="250"/>
      <c r="HN17" s="253"/>
      <c r="HO17" s="49" t="str">
        <f>IF(E17="","",IF(J17=1000,11,IF(J17=-1000,0,IF(J17&gt;0,11,IF(J17&lt;0,(-J17),"0")))))</f>
        <v/>
      </c>
      <c r="HP17" s="50" t="str">
        <f>IF(E17="","",IF(J17=1000,0,IF(J17=-1000,11,IF(J17&lt;-9,-(J17-2),IF(J17&gt;0,(GU17),"0")))))</f>
        <v/>
      </c>
      <c r="HQ17" s="51" t="str">
        <f>IF(E17="","",IF(J17=1000,11,IF(J17=-1000,0,IF(J17&lt;9,11,IF(J17&gt;9,(J17+2),"0")))))</f>
        <v/>
      </c>
      <c r="HR17" s="52" t="str">
        <f>IF(E17="","",IF(J17=1000,0,IF(J17=-1000,11,IF(J17&lt;0,11,IF(J17&gt;0,(J17),"0")))))</f>
        <v/>
      </c>
      <c r="HS17" s="53" t="str">
        <f>IF(F17="","",IF(K17=1000,11,IF(K17=-1000,0,IF(K17&gt;0,11,IF(K17&lt;0,(-K17),"0")))))</f>
        <v/>
      </c>
      <c r="HT17" s="53" t="str">
        <f>IF(F17="","",IF(K17=1000,0,IF(K17=-1000,11,IF(K17&lt;-9,-(K17-2),IF(K17&gt;0,(GV17),"0")))))</f>
        <v/>
      </c>
      <c r="HU17" s="54" t="str">
        <f>IF(F17="","",IF(K17=1000,11,IF(K17=-1000,0,IF(K17&lt;9,11,IF(K17&gt;9,(K17+2),"0")))))</f>
        <v/>
      </c>
      <c r="HV17" s="54" t="str">
        <f>IF(F17="","",IF(K17=1000,0,IF(K17=-1000,11,IF(K17&lt;0,11,IF(K17&gt;0,(K17),"0")))))</f>
        <v/>
      </c>
      <c r="HW17" s="49" t="str">
        <f>IF(G17="","",IF(L17=1000,11,IF(L17=-1000,0,IF(L17&gt;0,11,IF(L17&lt;0,(-L17),"0")))))</f>
        <v/>
      </c>
      <c r="HX17" s="50" t="str">
        <f>IF(G17="","",IF(L17=1000,0,IF(L17=-1000,11,IF(L17&lt;-9,-(L17-2),IF(L17&gt;0,(GW17),"0")))))</f>
        <v/>
      </c>
      <c r="HY17" s="51" t="str">
        <f>IF(G17="","",IF(L17=1000,11,IF(L17=-1000,0,IF(L17&lt;9,11,IF(L17&gt;9,(L17+2),"0")))))</f>
        <v/>
      </c>
      <c r="HZ17" s="52" t="str">
        <f>IF(G17="","",IF(L17=1000,0,IF(L17=-1000,11,IF(L17&lt;0,11,IF(L17&gt;0,(L17),"0")))))</f>
        <v/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 t="str">
        <f>IF(E17="","",EO17*1)</f>
        <v/>
      </c>
      <c r="IJ17" s="56" t="str">
        <f>IF(F17="","",EY17*1)</f>
        <v/>
      </c>
      <c r="IK17" s="56" t="str">
        <f>IF(G17="","",FI17*1)</f>
        <v/>
      </c>
      <c r="IL17" s="56" t="str">
        <f>IF(H17="","",FS17*1)</f>
        <v/>
      </c>
      <c r="IM17" s="56" t="str">
        <f>IF(I17="","",GC17*1)</f>
        <v/>
      </c>
      <c r="IN17" s="57" t="str">
        <f>IF(E17="","",EU17*1)</f>
        <v/>
      </c>
      <c r="IO17" s="57" t="str">
        <f>IF(F17="","",FE17*1)</f>
        <v/>
      </c>
      <c r="IP17" s="57" t="str">
        <f>IF(G17="","",FO17*1)</f>
        <v/>
      </c>
      <c r="IQ17" s="57" t="str">
        <f>IF(H17="","",FY17*1)</f>
        <v/>
      </c>
      <c r="IR17" s="57" t="str">
        <f>IF(I17="","",GI17*1)</f>
        <v/>
      </c>
      <c r="IS17" s="58" t="str">
        <f>IF(E17="","",SUM(II17:IM17))</f>
        <v/>
      </c>
      <c r="IT17" s="58" t="str">
        <f>IF(E17="","",SUM(IN17:IR17))</f>
        <v/>
      </c>
    </row>
    <row r="18" spans="1:254" ht="30" customHeight="1" x14ac:dyDescent="0.2">
      <c r="A18" s="39" t="s">
        <v>36</v>
      </c>
      <c r="B18" s="40">
        <v>18</v>
      </c>
      <c r="C18" s="41" t="s">
        <v>37</v>
      </c>
      <c r="D18" s="40">
        <v>54</v>
      </c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Панков Леонид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Алёшкин Дмитрий Сергеевич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17</v>
      </c>
      <c r="C19" s="41" t="s">
        <v>34</v>
      </c>
      <c r="D19" s="59">
        <f>IF(D17=0,"",D17)</f>
        <v>53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Щепетнев Дмитрий Владимирович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Рехтин Андрей Павлович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14</v>
      </c>
      <c r="C20" s="41" t="s">
        <v>35</v>
      </c>
      <c r="D20" s="59">
        <f>IF(D16=0,"",D16)</f>
        <v>52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Масовер Андрей Ромазанович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Третьяков Олег Маратович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 t="str">
        <f>IF(E16="","",SUM(GM16:GS20))</f>
        <v/>
      </c>
      <c r="GN21" s="222"/>
      <c r="GO21" s="222"/>
      <c r="GP21" s="222"/>
      <c r="GQ21" s="222"/>
      <c r="GR21" s="222"/>
      <c r="GS21" s="223"/>
      <c r="GT21" s="224" t="str">
        <f>IF(E16="","",SUM(GT16:GZ20))</f>
        <v/>
      </c>
      <c r="GU21" s="225"/>
      <c r="GV21" s="225"/>
      <c r="GW21" s="225"/>
      <c r="GX21" s="225"/>
      <c r="GY21" s="225"/>
      <c r="GZ21" s="226"/>
      <c r="HA21" s="227" t="str">
        <f>IF(E16="","",SUM(HA16:HG20))</f>
        <v/>
      </c>
      <c r="HB21" s="228"/>
      <c r="HC21" s="228"/>
      <c r="HD21" s="228"/>
      <c r="HE21" s="228"/>
      <c r="HF21" s="228"/>
      <c r="HG21" s="229"/>
      <c r="HH21" s="230" t="str">
        <f>IF(E16="","",SUM(HH16:HN20))</f>
        <v/>
      </c>
      <c r="HI21" s="228"/>
      <c r="HJ21" s="228"/>
      <c r="HK21" s="228"/>
      <c r="HL21" s="228"/>
      <c r="HM21" s="228"/>
      <c r="HN21" s="231"/>
      <c r="IS21" s="64" t="str">
        <f>IF(E16="","",SUM(IS16:IS20))</f>
        <v/>
      </c>
      <c r="IT21" s="65" t="str">
        <f>IF(E16="","",SUM(IT16:IT20))</f>
        <v/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22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"РУСИЧИ"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«Рассвет»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12</v>
      </c>
      <c r="F57" s="481"/>
      <c r="G57" s="9"/>
      <c r="H57" s="480">
        <f>C2</f>
        <v>51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13</v>
      </c>
      <c r="F58" s="481"/>
      <c r="G58" s="9"/>
      <c r="H58" s="480">
        <f>C4</f>
        <v>53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16</v>
      </c>
      <c r="F59" s="481"/>
      <c r="G59" s="9"/>
      <c r="H59" s="480">
        <f>C7</f>
        <v>56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17</v>
      </c>
      <c r="F60" s="481"/>
      <c r="G60" s="9"/>
      <c r="H60" s="480">
        <f>C8</f>
        <v>57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18</v>
      </c>
      <c r="F61" s="481"/>
      <c r="G61" s="9"/>
      <c r="H61" s="480">
        <f>C9</f>
        <v>58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19</v>
      </c>
      <c r="F62" s="481"/>
      <c r="G62" s="9"/>
      <c r="H62" s="480">
        <f>1+H61</f>
        <v>59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20</v>
      </c>
      <c r="F63" s="481"/>
      <c r="G63" s="9"/>
      <c r="H63" s="480">
        <f>1+H62</f>
        <v>60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21</v>
      </c>
      <c r="F64" s="481"/>
      <c r="G64" s="9"/>
      <c r="H64" s="480">
        <f>1+H63</f>
        <v>61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22</v>
      </c>
      <c r="F65" s="481"/>
      <c r="G65" s="9"/>
      <c r="H65" s="480">
        <f>1+H64</f>
        <v>62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23</v>
      </c>
      <c r="F66" s="481"/>
      <c r="G66" s="9"/>
      <c r="H66" s="480">
        <f>1+H65</f>
        <v>63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  <pageSetUpPr fitToPage="1"/>
  </sheetPr>
  <dimension ref="A1:IU102"/>
  <sheetViews>
    <sheetView zoomScale="46" zoomScaleNormal="46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«Интер»  г.Евпатория</v>
      </c>
      <c r="B1" s="576"/>
      <c r="C1" s="577" t="str">
        <f>IF(D11="","",VLOOKUP(D11,Список!B:O,12,FALSE))</f>
        <v>«СШ №3(1)» г.Симферополь</v>
      </c>
      <c r="D1" s="578"/>
      <c r="E1" s="579">
        <v>23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31</v>
      </c>
      <c r="B2" s="13" t="str">
        <f>IF(A2="","",VLOOKUP(A2,Список!E:O,2,FALSE))</f>
        <v xml:space="preserve"> Сорбало Владислав Федорович</v>
      </c>
      <c r="C2" s="14">
        <f>IF($B$11="","",$D$11*10+1)</f>
        <v>81</v>
      </c>
      <c r="D2" s="15" t="str">
        <f>IF(C2="","",VLOOKUP(C2,Список!E:O,2,FALSE))</f>
        <v xml:space="preserve"> Пыльник Данил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32</v>
      </c>
      <c r="B3" s="13" t="str">
        <f>IF(A3="","",VLOOKUP(A3,Список!E:O,2,FALSE))</f>
        <v xml:space="preserve"> Каулик Алексей Сергеевич</v>
      </c>
      <c r="C3" s="14">
        <f>IF($B$11="","",$D$11*10+2)</f>
        <v>82</v>
      </c>
      <c r="D3" s="15" t="str">
        <f>IF(C3="","",VLOOKUP(C3,Список!E:O,2,FALSE))</f>
        <v xml:space="preserve"> Орбакас Антон Эдуардесович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33</v>
      </c>
      <c r="B4" s="13" t="str">
        <f>IF(A4="","",VLOOKUP(A4,Список!E:O,2,FALSE))</f>
        <v xml:space="preserve"> Скрипин Василий Иванович</v>
      </c>
      <c r="C4" s="14">
        <f>IF($B$11="","",$D$11*10+3)</f>
        <v>83</v>
      </c>
      <c r="D4" s="15" t="str">
        <f>IF(C4="","",VLOOKUP(C4,Список!E:O,2,FALSE))</f>
        <v xml:space="preserve"> Лойко Максим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34</v>
      </c>
      <c r="B5" s="13" t="str">
        <f>IF(A5="","",VLOOKUP(A5,Список!E:O,2,FALSE))</f>
        <v xml:space="preserve"> Сыч Станислав Викторович</v>
      </c>
      <c r="C5" s="14">
        <f>IF($B$11="","",$D$11*10+4)</f>
        <v>84</v>
      </c>
      <c r="D5" s="15" t="str">
        <f>IF(C5="","",VLOOKUP(C5,Список!E:O,2,FALSE))</f>
        <v>-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35</v>
      </c>
      <c r="B6" s="13" t="str">
        <f>IF(A6="","",VLOOKUP(A6,Список!E:O,2,FALSE))</f>
        <v xml:space="preserve"> Марусич Дмитрий Олегович</v>
      </c>
      <c r="C6" s="14">
        <f>IF($B$11="","",$D$11*10+5)</f>
        <v>85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36</v>
      </c>
      <c r="B7" s="13" t="str">
        <f>IF(A7="","",VLOOKUP(A7,Список!E:O,2,FALSE))</f>
        <v xml:space="preserve"> Кафиев Артур Рафаилович</v>
      </c>
      <c r="C7" s="14">
        <f>IF($B$11="","",$D$11*10+6)</f>
        <v>86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37</v>
      </c>
      <c r="B8" s="13" t="str">
        <f>IF(A8="","",VLOOKUP(A8,Список!E:O,2,FALSE))</f>
        <v xml:space="preserve"> Калинин Илья Валерьевич</v>
      </c>
      <c r="C8" s="14">
        <f>IF($B$11="","",$D$11*10+7)</f>
        <v>87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«Интер»  г.Евпатория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№3(1)»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38</v>
      </c>
      <c r="B9" s="13" t="str">
        <f>IF(A9="","",VLOOKUP(A9,Список!E:O,2,FALSE))</f>
        <v xml:space="preserve"> Скрипин Иван Васильевич</v>
      </c>
      <c r="C9" s="14">
        <f>IF($B$11="","",$D$11*10+8)</f>
        <v>88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3</v>
      </c>
      <c r="C11" s="27" t="s">
        <v>18</v>
      </c>
      <c r="D11" s="29">
        <f>IF(B11="","",IF(B11=A13,C13,IF(B11=C13,A13,)))</f>
        <v>8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«Интер»  г.Евпатория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№3(1)»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16:00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30</v>
      </c>
      <c r="D12" s="25">
        <f>IF(B11="","",D11*10)</f>
        <v>80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3</v>
      </c>
      <c r="B13" s="566"/>
      <c r="C13" s="565">
        <f>IF($E$1="","",VLOOKUP($E$1,'Общее расписание'!$B:$V,3,FALSE))</f>
        <v>8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Хилик К.А., Скрипин В.И.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5, встреча 23, 3 - 8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23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32</v>
      </c>
      <c r="C16" s="41" t="s">
        <v>35</v>
      </c>
      <c r="D16" s="40">
        <v>82</v>
      </c>
      <c r="E16" s="42" t="s">
        <v>152</v>
      </c>
      <c r="F16" s="42" t="s">
        <v>172</v>
      </c>
      <c r="G16" s="42" t="s">
        <v>156</v>
      </c>
      <c r="H16" s="42"/>
      <c r="I16" s="42"/>
      <c r="J16" s="43">
        <f>IF(E16="","",IF(E16="0",1000,IF(E16="-0",-1000,E16*1)))</f>
        <v>-7</v>
      </c>
      <c r="K16" s="43">
        <f>IF(F16="","",IF(F16="0",1000,IF(F16="-0",-1000,F16*1)))</f>
        <v>-5</v>
      </c>
      <c r="L16" s="43">
        <f>IF(G16="","",IF(G16="0",1000,IF(G16="-0",-1000,G16*1)))</f>
        <v>-9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Каулик Алексей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Орбакас Антон Эдуардесович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7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5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9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7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5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9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7</v>
      </c>
      <c r="IJ16" s="56">
        <f>IF(F16="","",EY16*1)</f>
        <v>5</v>
      </c>
      <c r="IK16" s="56">
        <f>IF(G16="","",FI16*1)</f>
        <v>9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21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31</v>
      </c>
      <c r="C17" s="41" t="s">
        <v>34</v>
      </c>
      <c r="D17" s="40">
        <v>83</v>
      </c>
      <c r="E17" s="42" t="s">
        <v>157</v>
      </c>
      <c r="F17" s="42" t="s">
        <v>153</v>
      </c>
      <c r="G17" s="42" t="s">
        <v>160</v>
      </c>
      <c r="H17" s="42"/>
      <c r="I17" s="42"/>
      <c r="J17" s="43">
        <f t="shared" ref="J17:N20" si="2">IF(E17="","",IF(E17="0",1000,IF(E17="-0",-1000,E17*1)))</f>
        <v>9</v>
      </c>
      <c r="K17" s="43">
        <f t="shared" si="2"/>
        <v>7</v>
      </c>
      <c r="L17" s="43">
        <f t="shared" si="2"/>
        <v>3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Сорбало Владислав Федорович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Лойко Максим Александрович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9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7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3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 t="str">
        <f>IF(E17="","",IF(J17=1000,11,IF(J17=-1000,0,IF(J17&lt;9,11,IF(J17&gt;9,(J17+2),"0")))))</f>
        <v>0</v>
      </c>
      <c r="HR17" s="52">
        <f>IF(E17="","",IF(J17=1000,0,IF(J17=-1000,11,IF(J17&lt;0,11,IF(J17&gt;0,(J17),"0")))))</f>
        <v>9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7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3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9</v>
      </c>
      <c r="IO17" s="57">
        <f>IF(F17="","",FE17*1)</f>
        <v>7</v>
      </c>
      <c r="IP17" s="57">
        <f>IF(G17="","",FO17*1)</f>
        <v>3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19</v>
      </c>
    </row>
    <row r="18" spans="1:254" ht="30" customHeight="1" x14ac:dyDescent="0.2">
      <c r="A18" s="39" t="s">
        <v>36</v>
      </c>
      <c r="B18" s="40">
        <v>34</v>
      </c>
      <c r="C18" s="41" t="s">
        <v>37</v>
      </c>
      <c r="D18" s="40">
        <v>81</v>
      </c>
      <c r="E18" s="42"/>
      <c r="F18" s="42"/>
      <c r="G18" s="42"/>
      <c r="H18" s="42"/>
      <c r="I18" s="42"/>
      <c r="J18" s="43" t="str">
        <f t="shared" si="2"/>
        <v/>
      </c>
      <c r="K18" s="43" t="str">
        <f t="shared" si="2"/>
        <v/>
      </c>
      <c r="L18" s="43" t="str">
        <f t="shared" si="2"/>
        <v/>
      </c>
      <c r="M18" s="43" t="str">
        <f t="shared" si="2"/>
        <v/>
      </c>
      <c r="N18" s="43" t="str">
        <f t="shared" si="2"/>
        <v/>
      </c>
      <c r="O18" s="44" t="str">
        <f>IF(J18="","",IF(J18&gt;0,1,0))</f>
        <v/>
      </c>
      <c r="P18" s="44" t="str">
        <f t="shared" si="0"/>
        <v/>
      </c>
      <c r="Q18" s="44" t="str">
        <f t="shared" si="0"/>
        <v/>
      </c>
      <c r="R18" s="44" t="str">
        <f t="shared" si="0"/>
        <v/>
      </c>
      <c r="S18" s="44" t="str">
        <f t="shared" si="0"/>
        <v/>
      </c>
      <c r="T18" s="45" t="str">
        <f t="shared" si="1"/>
        <v/>
      </c>
      <c r="U18" s="45" t="str">
        <f t="shared" si="1"/>
        <v/>
      </c>
      <c r="V18" s="45" t="str">
        <f t="shared" si="1"/>
        <v/>
      </c>
      <c r="W18" s="45" t="str">
        <f t="shared" si="1"/>
        <v/>
      </c>
      <c r="X18" s="45" t="str">
        <f t="shared" si="1"/>
        <v/>
      </c>
      <c r="Y18" s="46" t="str">
        <f>IF(E18="","",SUM(O18:S18))</f>
        <v/>
      </c>
      <c r="Z18" s="46" t="str">
        <f>IF(E18="","",SUM(T18:X18))</f>
        <v/>
      </c>
      <c r="AA18" s="47" t="str">
        <f>IF(E18="","",IF(Y18&gt;Z18,1,0))</f>
        <v/>
      </c>
      <c r="AB18" s="48" t="str">
        <f>IF(E18="","",IF(Y18&lt;Z18,1,0))</f>
        <v/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Сыч Станислав Викторович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Пыльник Данил Александрович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 t="str">
        <f>IF(E18="","",IF(J18&gt;9,HQ18,HO18))</f>
        <v/>
      </c>
      <c r="EP18" s="255"/>
      <c r="EQ18" s="255"/>
      <c r="ER18" s="255"/>
      <c r="ES18" s="297" t="str">
        <f>IF(EO18="","","-")</f>
        <v/>
      </c>
      <c r="ET18" s="297"/>
      <c r="EU18" s="255" t="str">
        <f>IF(E18="","",IF(J18&lt;-9,HP18,HR18))</f>
        <v/>
      </c>
      <c r="EV18" s="255"/>
      <c r="EW18" s="255"/>
      <c r="EX18" s="256"/>
      <c r="EY18" s="257" t="str">
        <f>IF(F18="","",IF(K18&gt;9,HU18,HS18))</f>
        <v/>
      </c>
      <c r="EZ18" s="255"/>
      <c r="FA18" s="255"/>
      <c r="FB18" s="255"/>
      <c r="FC18" s="254" t="str">
        <f>IF(EY18="","","-")</f>
        <v/>
      </c>
      <c r="FD18" s="254"/>
      <c r="FE18" s="255" t="str">
        <f>IF(F18="","",IF(K18&lt;-9,HT18,HV18))</f>
        <v/>
      </c>
      <c r="FF18" s="255"/>
      <c r="FG18" s="255"/>
      <c r="FH18" s="256"/>
      <c r="FI18" s="257" t="str">
        <f>IF(G18="","",IF(L18&gt;9,HY18,HW18))</f>
        <v/>
      </c>
      <c r="FJ18" s="255"/>
      <c r="FK18" s="255"/>
      <c r="FL18" s="255"/>
      <c r="FM18" s="254" t="str">
        <f>IF(FI18="","","-")</f>
        <v/>
      </c>
      <c r="FN18" s="254"/>
      <c r="FO18" s="255" t="str">
        <f>IF(G18="","",IF(L18&lt;-9,HX18,HZ18))</f>
        <v/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 t="str">
        <f>Y18</f>
        <v/>
      </c>
      <c r="GN18" s="247"/>
      <c r="GO18" s="247"/>
      <c r="GP18" s="247"/>
      <c r="GQ18" s="247"/>
      <c r="GR18" s="247"/>
      <c r="GS18" s="304"/>
      <c r="GT18" s="246" t="str">
        <f>Z18</f>
        <v/>
      </c>
      <c r="GU18" s="247"/>
      <c r="GV18" s="247"/>
      <c r="GW18" s="247"/>
      <c r="GX18" s="247"/>
      <c r="GY18" s="247"/>
      <c r="GZ18" s="248"/>
      <c r="HA18" s="249" t="str">
        <f>AA18</f>
        <v/>
      </c>
      <c r="HB18" s="250"/>
      <c r="HC18" s="250"/>
      <c r="HD18" s="250"/>
      <c r="HE18" s="250"/>
      <c r="HF18" s="250"/>
      <c r="HG18" s="251"/>
      <c r="HH18" s="252" t="str">
        <f>AB18</f>
        <v/>
      </c>
      <c r="HI18" s="250"/>
      <c r="HJ18" s="250"/>
      <c r="HK18" s="250"/>
      <c r="HL18" s="250"/>
      <c r="HM18" s="250"/>
      <c r="HN18" s="253"/>
      <c r="HO18" s="49" t="str">
        <f>IF(E18="","",IF(J18=1000,11,IF(J18=-1000,0,IF(J18&gt;0,11,IF(J18&lt;0,(-J18),"0")))))</f>
        <v/>
      </c>
      <c r="HP18" s="50" t="str">
        <f>IF(E18="","",IF(J18=1000,0,IF(J18=-1000,11,IF(J18&lt;-9,-(J18-2),IF(J18&gt;0,(GU18),"0")))))</f>
        <v/>
      </c>
      <c r="HQ18" s="51" t="str">
        <f>IF(E18="","",IF(J18=1000,11,IF(J18=-1000,0,IF(J18&lt;9,11,IF(J18&gt;9,(J18+2),"0")))))</f>
        <v/>
      </c>
      <c r="HR18" s="52" t="str">
        <f>IF(E18="","",IF(J18=1000,0,IF(J18=-1000,11,IF(J18&lt;0,11,IF(J18&gt;0,(J18),"0")))))</f>
        <v/>
      </c>
      <c r="HS18" s="53" t="str">
        <f>IF(F18="","",IF(K18=1000,11,IF(K18=-1000,0,IF(K18&gt;0,11,IF(K18&lt;0,(-K18),"0")))))</f>
        <v/>
      </c>
      <c r="HT18" s="53" t="str">
        <f>IF(F18="","",IF(K18=1000,0,IF(K18=-1000,11,IF(K18&lt;-9,-(K18-2),IF(K18&gt;0,(GV18),"0")))))</f>
        <v/>
      </c>
      <c r="HU18" s="54" t="str">
        <f>IF(F18="","",IF(K18=1000,11,IF(K18=-1000,0,IF(K18&lt;9,11,IF(K18&gt;9,(K18+2),"0")))))</f>
        <v/>
      </c>
      <c r="HV18" s="54" t="str">
        <f>IF(F18="","",IF(K18=1000,0,IF(K18=-1000,11,IF(K18&lt;0,11,IF(K18&gt;0,(K18),"0")))))</f>
        <v/>
      </c>
      <c r="HW18" s="49" t="str">
        <f>IF(G18="","",IF(L18=1000,11,IF(L18=-1000,0,IF(L18&gt;0,11,IF(L18&lt;0,(-L18),"0")))))</f>
        <v/>
      </c>
      <c r="HX18" s="50" t="str">
        <f>IF(G18="","",IF(L18=1000,0,IF(L18=-1000,11,IF(L18&lt;-9,-(L18-2),IF(L18&gt;0,(GW18),"0")))))</f>
        <v/>
      </c>
      <c r="HY18" s="51" t="str">
        <f>IF(G18="","",IF(L18=1000,11,IF(L18=-1000,0,IF(L18&lt;9,11,IF(L18&gt;9,(L18+2),"0")))))</f>
        <v/>
      </c>
      <c r="HZ18" s="52" t="str">
        <f>IF(G18="","",IF(L18=1000,0,IF(L18=-1000,11,IF(L18&lt;0,11,IF(L18&gt;0,(L18),"0")))))</f>
        <v/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 t="str">
        <f>IF(E18="","",EO18*1)</f>
        <v/>
      </c>
      <c r="IJ18" s="56" t="str">
        <f>IF(F18="","",EY18*1)</f>
        <v/>
      </c>
      <c r="IK18" s="56" t="str">
        <f>IF(G18="","",FI18*1)</f>
        <v/>
      </c>
      <c r="IL18" s="56" t="str">
        <f>IF(H18="","",FS18*1)</f>
        <v/>
      </c>
      <c r="IM18" s="56" t="str">
        <f>IF(I18="","",GC18*1)</f>
        <v/>
      </c>
      <c r="IN18" s="57" t="str">
        <f>IF(E18="","",EU18*1)</f>
        <v/>
      </c>
      <c r="IO18" s="57" t="str">
        <f>IF(F18="","",FE18*1)</f>
        <v/>
      </c>
      <c r="IP18" s="57" t="str">
        <f>IF(G18="","",FO18*1)</f>
        <v/>
      </c>
      <c r="IQ18" s="57" t="str">
        <f>IF(H18="","",FY18*1)</f>
        <v/>
      </c>
      <c r="IR18" s="57" t="str">
        <f>IF(I18="","",GI18*1)</f>
        <v/>
      </c>
      <c r="IS18" s="58" t="str">
        <f>IF(E18="","",SUM(II18:IM18))</f>
        <v/>
      </c>
      <c r="IT18" s="58" t="str">
        <f>IF(E18="","",SUM(IN18:IR18))</f>
        <v/>
      </c>
    </row>
    <row r="19" spans="1:254" ht="30" customHeight="1" x14ac:dyDescent="0.2">
      <c r="A19" s="39" t="s">
        <v>17</v>
      </c>
      <c r="B19" s="59">
        <f>IF(B16=0,"",B16)</f>
        <v>32</v>
      </c>
      <c r="C19" s="41" t="s">
        <v>34</v>
      </c>
      <c r="D19" s="59">
        <f>IF(D17=0,"",D17)</f>
        <v>83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Каулик Алексей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Лойко Максим Александрович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31</v>
      </c>
      <c r="C20" s="41" t="s">
        <v>35</v>
      </c>
      <c r="D20" s="59">
        <f>IF(D16=0,"",D16)</f>
        <v>82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Сорбало Владислав Федорович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Орбакас Антон Эдуардесович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3</v>
      </c>
      <c r="GN21" s="222"/>
      <c r="GO21" s="222"/>
      <c r="GP21" s="222"/>
      <c r="GQ21" s="222"/>
      <c r="GR21" s="222"/>
      <c r="GS21" s="223"/>
      <c r="GT21" s="224">
        <f>IF(E16="","",SUM(GT16:GZ20))</f>
        <v>3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1</v>
      </c>
      <c r="HI21" s="228"/>
      <c r="HJ21" s="228"/>
      <c r="HK21" s="228"/>
      <c r="HL21" s="228"/>
      <c r="HM21" s="228"/>
      <c r="HN21" s="231"/>
      <c r="IS21" s="64">
        <f>IF(E16="","",SUM(IS16:IS20))</f>
        <v>54</v>
      </c>
      <c r="IT21" s="65">
        <f>IF(E16="","",SUM(IT16:IT20))</f>
        <v>52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23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«Интер»  г.Евпатория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№3(1)»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32</v>
      </c>
      <c r="F57" s="481"/>
      <c r="G57" s="9"/>
      <c r="H57" s="480">
        <f>C2</f>
        <v>81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104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33</v>
      </c>
      <c r="F58" s="481"/>
      <c r="G58" s="9"/>
      <c r="H58" s="480">
        <f>C4</f>
        <v>83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105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36</v>
      </c>
      <c r="F59" s="481"/>
      <c r="G59" s="9"/>
      <c r="H59" s="480">
        <f>C7</f>
        <v>86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37</v>
      </c>
      <c r="F60" s="481"/>
      <c r="G60" s="9"/>
      <c r="H60" s="480">
        <f>C8</f>
        <v>87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38</v>
      </c>
      <c r="F61" s="481"/>
      <c r="G61" s="9"/>
      <c r="H61" s="480">
        <f>C9</f>
        <v>88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39</v>
      </c>
      <c r="F62" s="481"/>
      <c r="G62" s="9"/>
      <c r="H62" s="480">
        <f>1+H61</f>
        <v>89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40</v>
      </c>
      <c r="F63" s="481"/>
      <c r="G63" s="9"/>
      <c r="H63" s="480">
        <f>1+H62</f>
        <v>90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41</v>
      </c>
      <c r="F64" s="481"/>
      <c r="G64" s="9"/>
      <c r="H64" s="480">
        <f>1+H63</f>
        <v>91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42</v>
      </c>
      <c r="F65" s="481"/>
      <c r="G65" s="9"/>
      <c r="H65" s="480">
        <f>1+H64</f>
        <v>92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43</v>
      </c>
      <c r="F66" s="481"/>
      <c r="G66" s="9"/>
      <c r="H66" s="480">
        <f>1+H65</f>
        <v>93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  <pageSetUpPr fitToPage="1"/>
  </sheetPr>
  <dimension ref="A1:IU102"/>
  <sheetViews>
    <sheetView zoomScale="50" zoomScaleNormal="50" zoomScaleSheetLayoutView="40" workbookViewId="0">
      <selection activeCell="E16" sqref="E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«АРСЕНАЛ-С» г.Севастополь</v>
      </c>
      <c r="B1" s="576"/>
      <c r="C1" s="577" t="str">
        <f>IF(D11="","",VLOOKUP(D11,Список!B:O,12,FALSE))</f>
        <v>«СШ №3(2)» г.Симферополь</v>
      </c>
      <c r="D1" s="578"/>
      <c r="E1" s="579">
        <v>24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61</v>
      </c>
      <c r="B2" s="13" t="str">
        <f>IF(A2="","",VLOOKUP(A2,Список!E:O,2,FALSE))</f>
        <v xml:space="preserve"> Перфильев Алексей Алексеевич</v>
      </c>
      <c r="C2" s="14">
        <f>IF($B$11="","",$D$11*10+1)</f>
        <v>101</v>
      </c>
      <c r="D2" s="15" t="str">
        <f>IF(C2="","",VLOOKUP(C2,Список!E:O,2,FALSE))</f>
        <v xml:space="preserve"> Талалай Игорь Сергеевич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62</v>
      </c>
      <c r="B3" s="13" t="str">
        <f>IF(A3="","",VLOOKUP(A3,Список!E:O,2,FALSE))</f>
        <v xml:space="preserve"> Чернокнижников Александр Максимович</v>
      </c>
      <c r="C3" s="14">
        <f>IF($B$11="","",$D$11*10+2)</f>
        <v>102</v>
      </c>
      <c r="D3" s="15" t="str">
        <f>IF(C3="","",VLOOKUP(C3,Список!E:O,2,FALSE))</f>
        <v xml:space="preserve"> Назаренко Олег Михайлович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63</v>
      </c>
      <c r="B4" s="13" t="str">
        <f>IF(A4="","",VLOOKUP(A4,Список!E:O,2,FALSE))</f>
        <v xml:space="preserve"> Шило Алексей Вячеславович</v>
      </c>
      <c r="C4" s="14">
        <f>IF($B$11="","",$D$11*10+3)</f>
        <v>103</v>
      </c>
      <c r="D4" s="15" t="str">
        <f>IF(C4="","",VLOOKUP(C4,Список!E:O,2,FALSE))</f>
        <v xml:space="preserve"> Романовский Александр Витальевич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64</v>
      </c>
      <c r="B5" s="13" t="str">
        <f>IF(A5="","",VLOOKUP(A5,Список!E:O,2,FALSE))</f>
        <v xml:space="preserve"> Овчаренко Игорь Викторович</v>
      </c>
      <c r="C5" s="14">
        <f>IF($B$11="","",$D$11*10+4)</f>
        <v>104</v>
      </c>
      <c r="D5" s="15" t="str">
        <f>IF(C5="","",VLOOKUP(C5,Список!E:O,2,FALSE))</f>
        <v xml:space="preserve"> Алексеев Игорь Юрьевич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65</v>
      </c>
      <c r="B6" s="13" t="str">
        <f>IF(A6="","",VLOOKUP(A6,Список!E:O,2,FALSE))</f>
        <v xml:space="preserve"> Королев Роман Сергеевич</v>
      </c>
      <c r="C6" s="14">
        <f>IF($B$11="","",$D$11*10+5)</f>
        <v>105</v>
      </c>
      <c r="D6" s="15" t="str">
        <f>IF(C6="","",VLOOKUP(C6,Список!E:O,2,FALSE))</f>
        <v xml:space="preserve"> Тимофеев Александр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66</v>
      </c>
      <c r="B7" s="13" t="str">
        <f>IF(A7="","",VLOOKUP(A7,Список!E:O,2,FALSE))</f>
        <v xml:space="preserve"> Горелкин Анатолий Николаевич</v>
      </c>
      <c r="C7" s="14">
        <f>IF($B$11="","",$D$11*10+6)</f>
        <v>106</v>
      </c>
      <c r="D7" s="15" t="str">
        <f>IF(C7="","",VLOOKUP(C7,Список!E:O,2,FALSE))</f>
        <v xml:space="preserve"> Спорышев Александр Алексеевич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67</v>
      </c>
      <c r="B8" s="13" t="str">
        <f>IF(A8="","",VLOOKUP(A8,Список!E:O,2,FALSE))</f>
        <v xml:space="preserve"> Осипов Владимир Владимирович</v>
      </c>
      <c r="C8" s="14">
        <f>IF($B$11="","",$D$11*10+7)</f>
        <v>107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«АРСЕНАЛ-С» г.Севастополь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«СШ №3(2)»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68</v>
      </c>
      <c r="B9" s="13" t="str">
        <f>IF(A9="","",VLOOKUP(A9,Список!E:O,2,FALSE))</f>
        <v xml:space="preserve"> Митин Павел Вадимович</v>
      </c>
      <c r="C9" s="14">
        <f>IF($B$11="","",$D$11*10+8)</f>
        <v>108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6</v>
      </c>
      <c r="C11" s="27" t="s">
        <v>18</v>
      </c>
      <c r="D11" s="29">
        <f>IF(B11="","",IF(B11=A13,C13,IF(B11=C13,A13,)))</f>
        <v>10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«АРСЕНАЛ-С» г.Севастополь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№3(2)»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16:00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60</v>
      </c>
      <c r="D12" s="25">
        <f>IF(B11="","",D11*10)</f>
        <v>100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6</v>
      </c>
      <c r="B13" s="566"/>
      <c r="C13" s="565">
        <f>IF($E$1="","",VLOOKUP($E$1,'Общее расписание'!$B:$V,3,FALSE))</f>
        <v>10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Свистунов А.Н.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5, встреча 24, 6 - 10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24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28"/>
      <c r="AD14" s="128"/>
      <c r="AE14" s="128"/>
      <c r="AF14" s="128"/>
      <c r="AG14" s="128"/>
      <c r="AH14" s="128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67</v>
      </c>
      <c r="C16" s="41" t="s">
        <v>35</v>
      </c>
      <c r="D16" s="40">
        <v>102</v>
      </c>
      <c r="E16" s="42" t="s">
        <v>152</v>
      </c>
      <c r="F16" s="42" t="s">
        <v>172</v>
      </c>
      <c r="G16" s="42" t="s">
        <v>156</v>
      </c>
      <c r="H16" s="42"/>
      <c r="I16" s="42"/>
      <c r="J16" s="43">
        <f>IF(E16="","",IF(E16="0",1000,IF(E16="-0",-1000,E16*1)))</f>
        <v>-7</v>
      </c>
      <c r="K16" s="43">
        <f>IF(F16="","",IF(F16="0",1000,IF(F16="-0",-1000,F16*1)))</f>
        <v>-5</v>
      </c>
      <c r="L16" s="43">
        <f>IF(G16="","",IF(G16="0",1000,IF(G16="-0",-1000,G16*1)))</f>
        <v>-9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Осипов Владимир Владимирович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Назаренко Олег Михайлович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7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5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9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7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5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9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7</v>
      </c>
      <c r="IJ16" s="56">
        <f>IF(F16="","",EY16*1)</f>
        <v>5</v>
      </c>
      <c r="IK16" s="56">
        <f>IF(G16="","",FI16*1)</f>
        <v>9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21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66</v>
      </c>
      <c r="C17" s="41" t="s">
        <v>34</v>
      </c>
      <c r="D17" s="40">
        <v>101</v>
      </c>
      <c r="E17" s="42" t="s">
        <v>157</v>
      </c>
      <c r="F17" s="42" t="s">
        <v>153</v>
      </c>
      <c r="G17" s="42" t="s">
        <v>157</v>
      </c>
      <c r="H17" s="42"/>
      <c r="I17" s="42"/>
      <c r="J17" s="43">
        <f t="shared" ref="J17:N20" si="2">IF(E17="","",IF(E17="0",1000,IF(E17="-0",-1000,E17*1)))</f>
        <v>9</v>
      </c>
      <c r="K17" s="43">
        <f t="shared" si="2"/>
        <v>7</v>
      </c>
      <c r="L17" s="43">
        <f t="shared" si="2"/>
        <v>9</v>
      </c>
      <c r="M17" s="43" t="str">
        <f t="shared" si="2"/>
        <v/>
      </c>
      <c r="N17" s="43" t="str">
        <f t="shared" si="2"/>
        <v/>
      </c>
      <c r="O17" s="44">
        <f>IF(J17="","",IF(J17&gt;0,1,0))</f>
        <v>1</v>
      </c>
      <c r="P17" s="44">
        <f t="shared" si="0"/>
        <v>1</v>
      </c>
      <c r="Q17" s="44">
        <f t="shared" si="0"/>
        <v>1</v>
      </c>
      <c r="R17" s="44" t="str">
        <f t="shared" si="0"/>
        <v/>
      </c>
      <c r="S17" s="44" t="str">
        <f t="shared" si="0"/>
        <v/>
      </c>
      <c r="T17" s="45">
        <f t="shared" si="1"/>
        <v>0</v>
      </c>
      <c r="U17" s="45">
        <f t="shared" si="1"/>
        <v>0</v>
      </c>
      <c r="V17" s="45">
        <f t="shared" si="1"/>
        <v>0</v>
      </c>
      <c r="W17" s="45" t="str">
        <f t="shared" si="1"/>
        <v/>
      </c>
      <c r="X17" s="45" t="str">
        <f t="shared" si="1"/>
        <v/>
      </c>
      <c r="Y17" s="46">
        <f>IF(E17="","",SUM(O17:S17))</f>
        <v>3</v>
      </c>
      <c r="Z17" s="46">
        <f>IF(E17="","",SUM(T17:X17))</f>
        <v>0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Горелкин Анатолий Николаевич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Талалай Игорь Сергеевич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9</v>
      </c>
      <c r="EV17" s="255"/>
      <c r="EW17" s="255"/>
      <c r="EX17" s="256"/>
      <c r="EY17" s="257">
        <f>IF(F17="","",IF(K17&gt;9,HU17,HS17))</f>
        <v>11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7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9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0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 t="str">
        <f>IF(E17="","",IF(J17=1000,11,IF(J17=-1000,0,IF(J17&lt;9,11,IF(J17&gt;9,(J17+2),"0")))))</f>
        <v>0</v>
      </c>
      <c r="HR17" s="52">
        <f>IF(E17="","",IF(J17=1000,0,IF(J17=-1000,11,IF(J17&lt;0,11,IF(J17&gt;0,(J17),"0")))))</f>
        <v>9</v>
      </c>
      <c r="HS17" s="53">
        <f>IF(F17="","",IF(K17=1000,11,IF(K17=-1000,0,IF(K17&gt;0,11,IF(K17&lt;0,(-K17),"0")))))</f>
        <v>11</v>
      </c>
      <c r="HT17" s="53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7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 t="str">
        <f>IF(G17="","",IF(L17=1000,11,IF(L17=-1000,0,IF(L17&lt;9,11,IF(L17&gt;9,(L17+2),"0")))))</f>
        <v>0</v>
      </c>
      <c r="HZ17" s="52">
        <f>IF(G17="","",IF(L17=1000,0,IF(L17=-1000,11,IF(L17&lt;0,11,IF(L17&gt;0,(L17),"0")))))</f>
        <v>9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11</v>
      </c>
      <c r="IK17" s="56">
        <f>IF(G17="","",FI17*1)</f>
        <v>11</v>
      </c>
      <c r="IL17" s="56" t="str">
        <f>IF(H17="","",FS17*1)</f>
        <v/>
      </c>
      <c r="IM17" s="56" t="str">
        <f>IF(I17="","",GC17*1)</f>
        <v/>
      </c>
      <c r="IN17" s="57">
        <f>IF(E17="","",EU17*1)</f>
        <v>9</v>
      </c>
      <c r="IO17" s="57">
        <f>IF(F17="","",FE17*1)</f>
        <v>7</v>
      </c>
      <c r="IP17" s="57">
        <f>IF(G17="","",FO17*1)</f>
        <v>9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33</v>
      </c>
      <c r="IT17" s="58">
        <f>IF(E17="","",SUM(IN17:IR17))</f>
        <v>25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103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Романовский Александр Витальевич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67</v>
      </c>
      <c r="C19" s="41" t="s">
        <v>34</v>
      </c>
      <c r="D19" s="59">
        <f>IF(D17=0,"",D17)</f>
        <v>101</v>
      </c>
      <c r="E19" s="42" t="s">
        <v>174</v>
      </c>
      <c r="F19" s="42" t="s">
        <v>163</v>
      </c>
      <c r="G19" s="42" t="s">
        <v>173</v>
      </c>
      <c r="H19" s="42"/>
      <c r="I19" s="42"/>
      <c r="J19" s="43">
        <f t="shared" si="2"/>
        <v>-3</v>
      </c>
      <c r="K19" s="43">
        <f t="shared" si="2"/>
        <v>-2</v>
      </c>
      <c r="L19" s="43">
        <f t="shared" si="2"/>
        <v>-4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Осипов Владимир Владимирович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Талалай Игорь Сергеевич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3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2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4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3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2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4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3</v>
      </c>
      <c r="IJ19" s="56">
        <f>IF(F19="","",EY19*1)</f>
        <v>2</v>
      </c>
      <c r="IK19" s="56">
        <f>IF(G19="","",FI19*1)</f>
        <v>4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9</v>
      </c>
      <c r="IT19" s="58">
        <f>IF(E19="","",SUM(IN19:IR19))</f>
        <v>33</v>
      </c>
    </row>
    <row r="20" spans="1:254" ht="30" customHeight="1" thickBot="1" x14ac:dyDescent="0.4">
      <c r="A20" s="39" t="s">
        <v>18</v>
      </c>
      <c r="B20" s="59">
        <f>IF(B17=0,"",B17)</f>
        <v>66</v>
      </c>
      <c r="C20" s="41" t="s">
        <v>35</v>
      </c>
      <c r="D20" s="59">
        <f>IF(D16=0,"",D16)</f>
        <v>102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Горелкин Анатолий Николаевич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Назаренко Олег Михайлович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10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«СШ №3(2)»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3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63</v>
      </c>
      <c r="IT21" s="65">
        <f>IF(E16="","",SUM(IT16:IT20))</f>
        <v>124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24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«АРСЕНАЛ-С» г.Севастополь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№3(2)»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62</v>
      </c>
      <c r="F57" s="481"/>
      <c r="G57" s="9"/>
      <c r="H57" s="480">
        <f>C2</f>
        <v>101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63</v>
      </c>
      <c r="F58" s="481"/>
      <c r="G58" s="9"/>
      <c r="H58" s="480">
        <f>C4</f>
        <v>103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66</v>
      </c>
      <c r="F59" s="481"/>
      <c r="G59" s="9"/>
      <c r="H59" s="480">
        <f>C7</f>
        <v>106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67</v>
      </c>
      <c r="F60" s="481"/>
      <c r="G60" s="9"/>
      <c r="H60" s="480">
        <f>C8</f>
        <v>107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68</v>
      </c>
      <c r="F61" s="481"/>
      <c r="G61" s="9"/>
      <c r="H61" s="480">
        <f>C9</f>
        <v>108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69</v>
      </c>
      <c r="F62" s="481"/>
      <c r="G62" s="9"/>
      <c r="H62" s="480">
        <f>1+H61</f>
        <v>109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70</v>
      </c>
      <c r="F63" s="481"/>
      <c r="G63" s="9"/>
      <c r="H63" s="480">
        <f>1+H62</f>
        <v>110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71</v>
      </c>
      <c r="F64" s="481"/>
      <c r="G64" s="9"/>
      <c r="H64" s="480">
        <f>1+H63</f>
        <v>111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72</v>
      </c>
      <c r="F65" s="481"/>
      <c r="G65" s="9"/>
      <c r="H65" s="480">
        <f>1+H64</f>
        <v>112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73</v>
      </c>
      <c r="F66" s="481"/>
      <c r="G66" s="9"/>
      <c r="H66" s="480">
        <f>1+H65</f>
        <v>113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DT8:DW8"/>
    <mergeCell ref="DX8:HD8"/>
    <mergeCell ref="A13:B14"/>
    <mergeCell ref="C13:D14"/>
    <mergeCell ref="AC13:CH13"/>
    <mergeCell ref="CI13:EN13"/>
    <mergeCell ref="GK13:HE13"/>
    <mergeCell ref="BZ12:CC12"/>
    <mergeCell ref="CD12:CH12"/>
    <mergeCell ref="CI12:DV12"/>
    <mergeCell ref="DW12:DZ12"/>
    <mergeCell ref="EA12:EE12"/>
    <mergeCell ref="EF12:EI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EJ12:EN12"/>
    <mergeCell ref="GK12:HE12"/>
    <mergeCell ref="HF12:HN12"/>
    <mergeCell ref="AC10:CH10"/>
    <mergeCell ref="CI10:EN10"/>
    <mergeCell ref="EP10:GI10"/>
    <mergeCell ref="GK10:GV10"/>
    <mergeCell ref="GW10:HE10"/>
    <mergeCell ref="HF13:HN13"/>
    <mergeCell ref="CF4:FK4"/>
    <mergeCell ref="A1:B1"/>
    <mergeCell ref="C1:D1"/>
    <mergeCell ref="E1:I9"/>
    <mergeCell ref="AC1:HN1"/>
    <mergeCell ref="AC2:HN2"/>
    <mergeCell ref="AC3:HN3"/>
    <mergeCell ref="BD4:CE4"/>
    <mergeCell ref="FL4:GM4"/>
    <mergeCell ref="BR5:CS5"/>
    <mergeCell ref="CT5:DU5"/>
    <mergeCell ref="DV5:EW5"/>
    <mergeCell ref="EX5:FY5"/>
    <mergeCell ref="BR6:CS6"/>
    <mergeCell ref="CT6:DU6"/>
    <mergeCell ref="DV6:EW6"/>
    <mergeCell ref="EX6:FY6"/>
    <mergeCell ref="AM9:DS9"/>
    <mergeCell ref="DX9:HD9"/>
    <mergeCell ref="BR7:CS7"/>
    <mergeCell ref="CT7:DU7"/>
    <mergeCell ref="DV7:EW7"/>
    <mergeCell ref="EX7:FY7"/>
    <mergeCell ref="AM8:DS8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70C0"/>
    <pageSetUpPr fitToPage="1"/>
  </sheetPr>
  <dimension ref="A1:X52"/>
  <sheetViews>
    <sheetView view="pageBreakPreview" zoomScaleNormal="175" zoomScaleSheetLayoutView="100" workbookViewId="0">
      <selection activeCell="A4" sqref="A4"/>
    </sheetView>
  </sheetViews>
  <sheetFormatPr defaultColWidth="11.42578125" defaultRowHeight="15" outlineLevelCol="1" x14ac:dyDescent="0.25"/>
  <cols>
    <col min="1" max="2" width="11.42578125" style="105" customWidth="1" outlineLevel="1"/>
    <col min="3" max="3" width="1.7109375" style="106" customWidth="1"/>
    <col min="4" max="4" width="5.7109375" style="106" customWidth="1"/>
    <col min="5" max="5" width="6.5703125" style="106" customWidth="1"/>
    <col min="6" max="6" width="5.5703125" style="106" customWidth="1"/>
    <col min="7" max="9" width="5.5703125" style="105" customWidth="1"/>
    <col min="10" max="10" width="4.42578125" style="106" customWidth="1"/>
    <col min="11" max="11" width="4.42578125" style="105" customWidth="1"/>
    <col min="12" max="12" width="6" style="105" customWidth="1"/>
    <col min="13" max="13" width="4.7109375" style="105" customWidth="1"/>
    <col min="14" max="14" width="5.7109375" style="105" customWidth="1"/>
    <col min="15" max="15" width="6.5703125" style="105" customWidth="1"/>
    <col min="16" max="19" width="5.5703125" style="105" customWidth="1"/>
    <col min="20" max="20" width="4.42578125" style="105" customWidth="1"/>
    <col min="21" max="21" width="4.42578125" style="106" customWidth="1"/>
    <col min="22" max="22" width="6" style="106" customWidth="1"/>
    <col min="23" max="23" width="1.7109375" style="106" customWidth="1"/>
    <col min="24" max="16384" width="11.42578125" style="106"/>
  </cols>
  <sheetData>
    <row r="1" spans="1:23" ht="49.5" customHeight="1" x14ac:dyDescent="0.25">
      <c r="C1" s="403" t="str">
        <f>'Общее расписание'!C1</f>
        <v>ЧЕМПИОНАТ РЕСПУБЛИКИ КРЫМ сезона 2023 г. 
по настольному теннису среди команд ВЫСШЕЙ ЛИГИ (3 тур)</v>
      </c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</row>
    <row r="2" spans="1:23" ht="24" thickBot="1" x14ac:dyDescent="0.3">
      <c r="A2" s="404">
        <v>45</v>
      </c>
      <c r="B2" s="404"/>
      <c r="C2" s="411" t="str">
        <f>'Общее расписание'!C2</f>
        <v>г. Симферополь, 28 - 29 октября 2023 г.</v>
      </c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</row>
    <row r="3" spans="1:23" ht="17.25" thickBot="1" x14ac:dyDescent="0.3">
      <c r="A3" s="404"/>
      <c r="B3" s="404"/>
      <c r="D3" s="405" t="s">
        <v>80</v>
      </c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7" t="s">
        <v>81</v>
      </c>
      <c r="R3" s="408"/>
      <c r="S3" s="409">
        <f>IF(A2=0,"",VLOOKUP(A2,'Общее расписание'!B:T,1,FALSE))</f>
        <v>45</v>
      </c>
      <c r="T3" s="409"/>
      <c r="U3" s="409"/>
      <c r="V3" s="410"/>
      <c r="W3" s="107"/>
    </row>
    <row r="4" spans="1:23" ht="15.75" thickBot="1" x14ac:dyDescent="0.3">
      <c r="A4" s="106" t="s">
        <v>121</v>
      </c>
      <c r="B4" s="106" t="s">
        <v>94</v>
      </c>
      <c r="C4" s="105"/>
      <c r="D4" s="385" t="s">
        <v>22</v>
      </c>
      <c r="E4" s="386"/>
      <c r="F4" s="387" t="str">
        <f>IF(A2=0,"",VLOOKUP(A2,'Общее расписание'!B:T,13,FALSE))</f>
        <v>тур 9, встреча 45</v>
      </c>
      <c r="G4" s="387"/>
      <c r="H4" s="387"/>
      <c r="I4" s="387"/>
      <c r="J4" s="388"/>
      <c r="K4" s="385" t="s">
        <v>21</v>
      </c>
      <c r="L4" s="386"/>
      <c r="M4" s="387" t="str">
        <f>IF(A2=0,"",VLOOKUP(A2,'Общее расписание'!B:T,10,FALSE))</f>
        <v>9 - 10</v>
      </c>
      <c r="N4" s="387"/>
      <c r="O4" s="387"/>
      <c r="P4" s="387"/>
      <c r="Q4" s="399">
        <f>IF(A2=0,"",VLOOKUP(A2,'Общее расписание'!B:T,8,FALSE))</f>
        <v>45228</v>
      </c>
      <c r="R4" s="400"/>
      <c r="S4" s="401" t="str">
        <f>IF(A2=0,"",VLOOKUP(A2,'Общее расписание'!B:T,9,FALSE))</f>
        <v>14:40</v>
      </c>
      <c r="T4" s="402"/>
      <c r="U4" s="389" t="str">
        <f>IF(A2=0,"",IF(VLOOKUP(A2,'Общее расписание'!B:T,5,FALSE)="","",VLOOKUP(A2,'Общее расписание'!B:T,5,FALSE)))</f>
        <v/>
      </c>
      <c r="V4" s="388"/>
    </row>
    <row r="5" spans="1:23" ht="12.75" customHeight="1" thickBot="1" x14ac:dyDescent="0.3">
      <c r="A5" s="106"/>
      <c r="B5" s="106"/>
      <c r="D5" s="105"/>
      <c r="E5" s="105"/>
      <c r="F5" s="105"/>
      <c r="J5" s="105"/>
      <c r="U5" s="105"/>
      <c r="V5" s="105"/>
    </row>
    <row r="6" spans="1:23" ht="17.25" thickBot="1" x14ac:dyDescent="0.3">
      <c r="A6" s="108">
        <f>IF(A2=0,"",VLOOKUP(A2,'Общее расписание'!B:T,2,FALSE))</f>
        <v>9</v>
      </c>
      <c r="B6" s="108">
        <f>IF(A2=0,"",VLOOKUP(A2,'Общее расписание'!B:T,3,FALSE))</f>
        <v>10</v>
      </c>
      <c r="D6" s="390" t="str">
        <f>VLOOKUP(A6,Список!B:O,12,FALSE)</f>
        <v>"Спортшкола - Юноши" г.Ялта</v>
      </c>
      <c r="E6" s="391"/>
      <c r="F6" s="391"/>
      <c r="G6" s="391"/>
      <c r="H6" s="391"/>
      <c r="I6" s="391"/>
      <c r="J6" s="391"/>
      <c r="K6" s="391"/>
      <c r="L6" s="392"/>
      <c r="M6" s="109"/>
      <c r="N6" s="393" t="str">
        <f>VLOOKUP(B6,Список!B:O,12,FALSE)</f>
        <v>«СШ №3(2)» г.Симферополь</v>
      </c>
      <c r="O6" s="394"/>
      <c r="P6" s="394"/>
      <c r="Q6" s="394"/>
      <c r="R6" s="394"/>
      <c r="S6" s="394"/>
      <c r="T6" s="394"/>
      <c r="U6" s="394"/>
      <c r="V6" s="395"/>
    </row>
    <row r="7" spans="1:23" ht="14.1" customHeight="1" x14ac:dyDescent="0.25">
      <c r="D7" s="396" t="s">
        <v>82</v>
      </c>
      <c r="E7" s="397"/>
      <c r="F7" s="397"/>
      <c r="G7" s="397"/>
      <c r="H7" s="397"/>
      <c r="I7" s="397"/>
      <c r="J7" s="397"/>
      <c r="K7" s="397"/>
      <c r="L7" s="398"/>
      <c r="N7" s="396" t="s">
        <v>82</v>
      </c>
      <c r="O7" s="397"/>
      <c r="P7" s="397"/>
      <c r="Q7" s="397"/>
      <c r="R7" s="397"/>
      <c r="S7" s="397"/>
      <c r="T7" s="397"/>
      <c r="U7" s="397"/>
      <c r="V7" s="398"/>
    </row>
    <row r="8" spans="1:23" ht="14.1" customHeight="1" x14ac:dyDescent="0.25">
      <c r="D8" s="110">
        <f>A6*10+1</f>
        <v>91</v>
      </c>
      <c r="E8" s="382" t="str">
        <f>IF(D8=0,0,VLOOKUP(D8,Список!E:O,2,FALSE))</f>
        <v xml:space="preserve"> Бородин Илья Николаевич</v>
      </c>
      <c r="F8" s="383"/>
      <c r="G8" s="383"/>
      <c r="H8" s="383"/>
      <c r="I8" s="383"/>
      <c r="J8" s="383"/>
      <c r="K8" s="384"/>
      <c r="L8" s="208">
        <f>IF(D8=0,0,VLOOKUP(D8,Список!E:O,5,FALSE))</f>
        <v>869.89</v>
      </c>
      <c r="N8" s="110">
        <f>B6*10+1</f>
        <v>101</v>
      </c>
      <c r="O8" s="382" t="str">
        <f>IF(N8=0,0,VLOOKUP(N8,Список!E:O,2,FALSE))</f>
        <v xml:space="preserve"> Талалай Игорь Сергеевич</v>
      </c>
      <c r="P8" s="383"/>
      <c r="Q8" s="383"/>
      <c r="R8" s="383"/>
      <c r="S8" s="383"/>
      <c r="T8" s="383"/>
      <c r="U8" s="384"/>
      <c r="V8" s="208">
        <f>IF(N8=0,0,VLOOKUP(N8,Список!E:O,5,FALSE))</f>
        <v>661.3</v>
      </c>
    </row>
    <row r="9" spans="1:23" ht="14.1" customHeight="1" x14ac:dyDescent="0.25">
      <c r="D9" s="111">
        <f>A6*10+2</f>
        <v>92</v>
      </c>
      <c r="E9" s="382" t="str">
        <f>IF(D9=0,0,VLOOKUP(D9,Список!E:O,2,FALSE))</f>
        <v xml:space="preserve"> Чекалов Никита Геннадьевич</v>
      </c>
      <c r="F9" s="383"/>
      <c r="G9" s="383"/>
      <c r="H9" s="383"/>
      <c r="I9" s="383"/>
      <c r="J9" s="383"/>
      <c r="K9" s="384"/>
      <c r="L9" s="208">
        <f>IF(D9=0,0,VLOOKUP(D9,Список!E:O,5,FALSE))</f>
        <v>654.87</v>
      </c>
      <c r="N9" s="111">
        <f>B6*10+2</f>
        <v>102</v>
      </c>
      <c r="O9" s="382" t="str">
        <f>IF(N9=0,0,VLOOKUP(N9,Список!E:O,2,FALSE))</f>
        <v xml:space="preserve"> Назаренко Олег Михайлович</v>
      </c>
      <c r="P9" s="383"/>
      <c r="Q9" s="383"/>
      <c r="R9" s="383"/>
      <c r="S9" s="383"/>
      <c r="T9" s="383"/>
      <c r="U9" s="384"/>
      <c r="V9" s="210">
        <f>IF(N9=0,0,VLOOKUP(N9,Список!E:O,5,FALSE))</f>
        <v>644.27</v>
      </c>
    </row>
    <row r="10" spans="1:23" ht="14.1" customHeight="1" x14ac:dyDescent="0.25">
      <c r="D10" s="111">
        <f>A6*10+3</f>
        <v>93</v>
      </c>
      <c r="E10" s="382" t="str">
        <f>IF(D10=0,0,VLOOKUP(D10,Список!E:O,2,FALSE))</f>
        <v xml:space="preserve"> Груздов Дарион Сергеевич</v>
      </c>
      <c r="F10" s="383"/>
      <c r="G10" s="383"/>
      <c r="H10" s="383"/>
      <c r="I10" s="383"/>
      <c r="J10" s="383"/>
      <c r="K10" s="384"/>
      <c r="L10" s="208">
        <f>IF(D10=0,0,VLOOKUP(D10,Список!E:O,5,FALSE))</f>
        <v>542.61</v>
      </c>
      <c r="N10" s="111">
        <f>B6*10+3</f>
        <v>103</v>
      </c>
      <c r="O10" s="382" t="str">
        <f>IF(N10=0,0,VLOOKUP(N10,Список!E:O,2,FALSE))</f>
        <v xml:space="preserve"> Романовский Александр Витальевич</v>
      </c>
      <c r="P10" s="383"/>
      <c r="Q10" s="383"/>
      <c r="R10" s="383"/>
      <c r="S10" s="383"/>
      <c r="T10" s="383"/>
      <c r="U10" s="384"/>
      <c r="V10" s="210">
        <f>IF(N10=0,0,VLOOKUP(N10,Список!E:O,5,FALSE))</f>
        <v>589.5</v>
      </c>
    </row>
    <row r="11" spans="1:23" ht="14.1" customHeight="1" x14ac:dyDescent="0.25">
      <c r="D11" s="111">
        <f>A6*10+4</f>
        <v>94</v>
      </c>
      <c r="E11" s="382" t="str">
        <f>IF(D11=0,0,VLOOKUP(D11,Список!E:O,2,FALSE))</f>
        <v xml:space="preserve"> Чекалов Дмитрий Геннадьевич</v>
      </c>
      <c r="F11" s="383"/>
      <c r="G11" s="383"/>
      <c r="H11" s="383"/>
      <c r="I11" s="383"/>
      <c r="J11" s="383"/>
      <c r="K11" s="384"/>
      <c r="L11" s="208">
        <f>IF(D11=0,0,VLOOKUP(D11,Список!E:O,5,FALSE))</f>
        <v>531.85</v>
      </c>
      <c r="N11" s="111">
        <f>B6*10+4</f>
        <v>104</v>
      </c>
      <c r="O11" s="382" t="str">
        <f>IF(N11=0,0,VLOOKUP(N11,Список!E:O,2,FALSE))</f>
        <v xml:space="preserve"> Алексеев Игорь Юрьевич</v>
      </c>
      <c r="P11" s="383"/>
      <c r="Q11" s="383"/>
      <c r="R11" s="383"/>
      <c r="S11" s="383"/>
      <c r="T11" s="383"/>
      <c r="U11" s="384"/>
      <c r="V11" s="210">
        <f>IF(N11=0,0,VLOOKUP(N11,Список!E:O,5,FALSE))</f>
        <v>584.39</v>
      </c>
    </row>
    <row r="12" spans="1:23" ht="14.1" customHeight="1" x14ac:dyDescent="0.25">
      <c r="D12" s="111">
        <f>A6*10+5</f>
        <v>95</v>
      </c>
      <c r="E12" s="382" t="str">
        <f>IF(D12=0,0,VLOOKUP(D12,Список!E:O,2,FALSE))</f>
        <v xml:space="preserve"> Михайленко Кирилл Вадимович</v>
      </c>
      <c r="F12" s="383"/>
      <c r="G12" s="383"/>
      <c r="H12" s="383"/>
      <c r="I12" s="383"/>
      <c r="J12" s="383"/>
      <c r="K12" s="384"/>
      <c r="L12" s="208">
        <f>IF(D12=0,0,VLOOKUP(D12,Список!E:O,5,FALSE))</f>
        <v>509.52</v>
      </c>
      <c r="N12" s="111">
        <f>B6*10+5</f>
        <v>105</v>
      </c>
      <c r="O12" s="382" t="str">
        <f>IF(N12=0,0,VLOOKUP(N12,Список!E:O,2,FALSE))</f>
        <v xml:space="preserve"> Тимофеев Александр Сергеевич</v>
      </c>
      <c r="P12" s="383"/>
      <c r="Q12" s="383"/>
      <c r="R12" s="383"/>
      <c r="S12" s="383"/>
      <c r="T12" s="383"/>
      <c r="U12" s="384"/>
      <c r="V12" s="210">
        <f>IF(N12=0,0,VLOOKUP(N12,Список!E:O,5,FALSE))</f>
        <v>539.14</v>
      </c>
    </row>
    <row r="13" spans="1:23" ht="14.1" customHeight="1" x14ac:dyDescent="0.25">
      <c r="D13" s="111">
        <f>A6*10+6</f>
        <v>96</v>
      </c>
      <c r="E13" s="382" t="str">
        <f>IF(D13=0,0,VLOOKUP(D13,Список!E:O,2,FALSE))</f>
        <v xml:space="preserve"> Груздов Даниэль Сергеевич</v>
      </c>
      <c r="F13" s="383"/>
      <c r="G13" s="383"/>
      <c r="H13" s="383"/>
      <c r="I13" s="383"/>
      <c r="J13" s="383"/>
      <c r="K13" s="384"/>
      <c r="L13" s="208">
        <f>IF(D13=0,0,VLOOKUP(D13,Список!E:O,5,FALSE))</f>
        <v>434.55</v>
      </c>
      <c r="N13" s="111">
        <f>B6*10+6</f>
        <v>106</v>
      </c>
      <c r="O13" s="382" t="str">
        <f>IF(N13=0,0,VLOOKUP(N13,Список!E:O,2,FALSE))</f>
        <v xml:space="preserve"> Спорышев Александр Алексеевич</v>
      </c>
      <c r="P13" s="383"/>
      <c r="Q13" s="383"/>
      <c r="R13" s="383"/>
      <c r="S13" s="383"/>
      <c r="T13" s="383"/>
      <c r="U13" s="384"/>
      <c r="V13" s="210">
        <f>IF(N13=0,0,VLOOKUP(N13,Список!E:O,5,FALSE))</f>
        <v>521.19000000000005</v>
      </c>
    </row>
    <row r="14" spans="1:23" ht="14.1" customHeight="1" x14ac:dyDescent="0.25">
      <c r="D14" s="111">
        <f>A6*10+7</f>
        <v>97</v>
      </c>
      <c r="E14" s="382" t="str">
        <f>IF(D14=0,0,VLOOKUP(D14,Список!E:O,2,FALSE))</f>
        <v>-</v>
      </c>
      <c r="F14" s="383"/>
      <c r="G14" s="383"/>
      <c r="H14" s="383"/>
      <c r="I14" s="383"/>
      <c r="J14" s="383"/>
      <c r="K14" s="384"/>
      <c r="L14" s="208" t="str">
        <f>IF(D14=0,0,VLOOKUP(D14,Список!E:O,5,FALSE))</f>
        <v>-</v>
      </c>
      <c r="N14" s="111">
        <f>B6*10+7</f>
        <v>107</v>
      </c>
      <c r="O14" s="382" t="str">
        <f>IF(N14=0,0,VLOOKUP(N14,Список!E:O,2,FALSE))</f>
        <v>-</v>
      </c>
      <c r="P14" s="383"/>
      <c r="Q14" s="383"/>
      <c r="R14" s="383"/>
      <c r="S14" s="383"/>
      <c r="T14" s="383"/>
      <c r="U14" s="384"/>
      <c r="V14" s="210" t="str">
        <f>IF(N14=0,0,VLOOKUP(N14,Список!E:O,5,FALSE))</f>
        <v>-</v>
      </c>
    </row>
    <row r="15" spans="1:23" ht="14.1" customHeight="1" thickBot="1" x14ac:dyDescent="0.3">
      <c r="D15" s="112">
        <f>A6*10+8</f>
        <v>98</v>
      </c>
      <c r="E15" s="423" t="str">
        <f>IF(D15=0,0,VLOOKUP(D15,Список!E:O,2,FALSE))</f>
        <v>-</v>
      </c>
      <c r="F15" s="424"/>
      <c r="G15" s="424"/>
      <c r="H15" s="424"/>
      <c r="I15" s="424"/>
      <c r="J15" s="424"/>
      <c r="K15" s="425"/>
      <c r="L15" s="209" t="str">
        <f>IF(D15=0,0,VLOOKUP(D15,Список!E:O,5,FALSE))</f>
        <v>-</v>
      </c>
      <c r="N15" s="112">
        <f>B6*10+8</f>
        <v>108</v>
      </c>
      <c r="O15" s="423" t="str">
        <f>IF(N15=0,0,VLOOKUP(N15,Список!E:O,2,FALSE))</f>
        <v>-</v>
      </c>
      <c r="P15" s="424"/>
      <c r="Q15" s="424"/>
      <c r="R15" s="424"/>
      <c r="S15" s="424"/>
      <c r="T15" s="424"/>
      <c r="U15" s="425"/>
      <c r="V15" s="211" t="str">
        <f>IF(N15=0,0,VLOOKUP(N15,Список!E:O,5,FALSE))</f>
        <v>-</v>
      </c>
    </row>
    <row r="16" spans="1:23" x14ac:dyDescent="0.25">
      <c r="B16" s="106"/>
      <c r="D16" s="421" t="s">
        <v>83</v>
      </c>
      <c r="E16" s="421"/>
      <c r="F16" s="422" t="str">
        <f>IF(A2=0,0,VLOOKUP(A6,Список!B:O,13,FALSE))</f>
        <v>Прима В.А.</v>
      </c>
      <c r="G16" s="422"/>
      <c r="H16" s="422"/>
      <c r="I16" s="422"/>
      <c r="J16" s="422"/>
      <c r="K16" s="422"/>
      <c r="L16" s="422"/>
      <c r="M16" s="106"/>
      <c r="N16" s="421" t="s">
        <v>83</v>
      </c>
      <c r="O16" s="421"/>
      <c r="P16" s="422" t="str">
        <f>IF(A2=0,0,VLOOKUP(B6,Список!B:O,13,FALSE))</f>
        <v>Филатов Д.В.</v>
      </c>
      <c r="Q16" s="422"/>
      <c r="R16" s="422"/>
      <c r="S16" s="422"/>
      <c r="T16" s="422"/>
      <c r="U16" s="422"/>
      <c r="V16" s="422"/>
    </row>
    <row r="17" spans="3:23" ht="12.75" customHeight="1" x14ac:dyDescent="0.25"/>
    <row r="18" spans="3:23" ht="24.75" x14ac:dyDescent="0.25">
      <c r="D18" s="445" t="s">
        <v>84</v>
      </c>
      <c r="E18" s="446"/>
      <c r="F18" s="447"/>
      <c r="G18" s="447"/>
      <c r="H18" s="447"/>
      <c r="I18" s="447"/>
      <c r="J18" s="447"/>
      <c r="K18" s="447"/>
      <c r="L18" s="448"/>
      <c r="N18" s="442" t="s">
        <v>85</v>
      </c>
      <c r="O18" s="443"/>
      <c r="P18" s="443"/>
      <c r="Q18" s="443"/>
      <c r="R18" s="443"/>
      <c r="S18" s="443"/>
      <c r="T18" s="443"/>
      <c r="U18" s="443"/>
      <c r="V18" s="444"/>
    </row>
    <row r="19" spans="3:23" ht="18" customHeight="1" x14ac:dyDescent="0.25">
      <c r="D19" s="113" t="s">
        <v>17</v>
      </c>
      <c r="E19" s="114"/>
      <c r="F19" s="436"/>
      <c r="G19" s="437"/>
      <c r="H19" s="437"/>
      <c r="I19" s="437"/>
      <c r="J19" s="437"/>
      <c r="K19" s="437"/>
      <c r="L19" s="438"/>
      <c r="N19" s="439" t="s">
        <v>86</v>
      </c>
      <c r="O19" s="440"/>
      <c r="P19" s="440"/>
      <c r="Q19" s="440"/>
      <c r="R19" s="440"/>
      <c r="S19" s="440"/>
      <c r="T19" s="440"/>
      <c r="U19" s="440"/>
      <c r="V19" s="441"/>
    </row>
    <row r="20" spans="3:23" ht="18" customHeight="1" x14ac:dyDescent="0.25">
      <c r="D20" s="115" t="s">
        <v>18</v>
      </c>
      <c r="E20" s="116"/>
      <c r="F20" s="412"/>
      <c r="G20" s="413"/>
      <c r="H20" s="413"/>
      <c r="I20" s="413"/>
      <c r="J20" s="413"/>
      <c r="K20" s="413"/>
      <c r="L20" s="414"/>
      <c r="N20" s="449" t="s">
        <v>87</v>
      </c>
      <c r="O20" s="450"/>
      <c r="P20" s="450"/>
      <c r="Q20" s="450"/>
      <c r="R20" s="450"/>
      <c r="S20" s="450"/>
      <c r="T20" s="450"/>
      <c r="U20" s="450"/>
      <c r="V20" s="451"/>
    </row>
    <row r="21" spans="3:23" ht="18" customHeight="1" x14ac:dyDescent="0.25">
      <c r="D21" s="115" t="s">
        <v>36</v>
      </c>
      <c r="E21" s="117"/>
      <c r="F21" s="412"/>
      <c r="G21" s="413"/>
      <c r="H21" s="413"/>
      <c r="I21" s="413"/>
      <c r="J21" s="413"/>
      <c r="K21" s="413"/>
      <c r="L21" s="414"/>
      <c r="N21" s="118" t="s">
        <v>88</v>
      </c>
      <c r="O21" s="415" t="s">
        <v>89</v>
      </c>
      <c r="P21" s="416"/>
      <c r="Q21" s="416"/>
      <c r="R21" s="416"/>
      <c r="S21" s="416"/>
      <c r="T21" s="416"/>
      <c r="U21" s="416"/>
      <c r="V21" s="417"/>
    </row>
    <row r="22" spans="3:23" ht="18" customHeight="1" x14ac:dyDescent="0.25">
      <c r="D22" s="426" t="s">
        <v>83</v>
      </c>
      <c r="E22" s="427"/>
      <c r="F22" s="430"/>
      <c r="G22" s="431"/>
      <c r="H22" s="431"/>
      <c r="I22" s="431"/>
      <c r="J22" s="431"/>
      <c r="K22" s="431"/>
      <c r="L22" s="432"/>
      <c r="N22" s="119" t="s">
        <v>94</v>
      </c>
      <c r="O22" s="418" t="s">
        <v>94</v>
      </c>
      <c r="P22" s="419"/>
      <c r="Q22" s="419"/>
      <c r="R22" s="419"/>
      <c r="S22" s="419"/>
      <c r="T22" s="419"/>
      <c r="U22" s="419"/>
      <c r="V22" s="420"/>
    </row>
    <row r="23" spans="3:23" ht="18" customHeight="1" x14ac:dyDescent="0.25">
      <c r="D23" s="428"/>
      <c r="E23" s="429"/>
      <c r="F23" s="433"/>
      <c r="G23" s="434"/>
      <c r="H23" s="434"/>
      <c r="I23" s="434"/>
      <c r="J23" s="434"/>
      <c r="K23" s="434"/>
      <c r="L23" s="435"/>
      <c r="N23" s="119" t="s">
        <v>94</v>
      </c>
      <c r="O23" s="418" t="s">
        <v>94</v>
      </c>
      <c r="P23" s="419"/>
      <c r="Q23" s="419"/>
      <c r="R23" s="419"/>
      <c r="S23" s="419"/>
      <c r="T23" s="419"/>
      <c r="U23" s="419"/>
      <c r="V23" s="420"/>
    </row>
    <row r="24" spans="3:23" ht="12" customHeight="1" x14ac:dyDescent="0.25">
      <c r="D24" s="160">
        <f>A2</f>
        <v>45</v>
      </c>
      <c r="E24" s="122"/>
      <c r="F24" s="122"/>
      <c r="G24" s="123"/>
      <c r="H24" s="123"/>
      <c r="I24" s="123"/>
      <c r="J24" s="122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2"/>
      <c r="V24" s="122"/>
    </row>
    <row r="25" spans="3:23" ht="30.75" customHeight="1" x14ac:dyDescent="0.25">
      <c r="D25" s="161"/>
      <c r="E25" s="120"/>
      <c r="F25" s="120"/>
      <c r="G25" s="121"/>
      <c r="H25" s="121"/>
      <c r="I25" s="121"/>
      <c r="J25" s="120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0"/>
      <c r="V25" s="120"/>
    </row>
    <row r="26" spans="3:23" ht="30.75" customHeight="1" x14ac:dyDescent="0.25">
      <c r="D26" s="122"/>
      <c r="E26" s="122"/>
      <c r="F26" s="122"/>
      <c r="G26" s="123"/>
      <c r="H26" s="123"/>
      <c r="I26" s="123"/>
      <c r="J26" s="122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2"/>
      <c r="V26" s="122"/>
    </row>
    <row r="27" spans="3:23" ht="53.25" customHeight="1" x14ac:dyDescent="0.25">
      <c r="C27" s="403" t="str">
        <f>C1</f>
        <v>ЧЕМПИОНАТ РЕСПУБЛИКИ КРЫМ сезона 2023 г. 
по настольному теннису среди команд ВЫСШЕЙ ЛИГИ (3 тур)</v>
      </c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</row>
    <row r="28" spans="3:23" ht="24" thickBot="1" x14ac:dyDescent="0.3">
      <c r="C28" s="411" t="str">
        <f>C2</f>
        <v>г. Симферополь, 28 - 29 октября 2023 г.</v>
      </c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</row>
    <row r="29" spans="3:23" ht="17.25" thickBot="1" x14ac:dyDescent="0.3">
      <c r="D29" s="405" t="s">
        <v>80</v>
      </c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6"/>
      <c r="P29" s="406"/>
      <c r="Q29" s="407" t="s">
        <v>81</v>
      </c>
      <c r="R29" s="408"/>
      <c r="S29" s="409">
        <f>S3</f>
        <v>45</v>
      </c>
      <c r="T29" s="409"/>
      <c r="U29" s="409"/>
      <c r="V29" s="410"/>
    </row>
    <row r="30" spans="3:23" ht="15.75" thickBot="1" x14ac:dyDescent="0.3">
      <c r="D30" s="385" t="s">
        <v>90</v>
      </c>
      <c r="E30" s="386"/>
      <c r="F30" s="387" t="str">
        <f>F4</f>
        <v>тур 9, встреча 45</v>
      </c>
      <c r="G30" s="387"/>
      <c r="H30" s="387"/>
      <c r="I30" s="387"/>
      <c r="J30" s="388"/>
      <c r="K30" s="385" t="s">
        <v>21</v>
      </c>
      <c r="L30" s="386"/>
      <c r="M30" s="387" t="str">
        <f>M4</f>
        <v>9 - 10</v>
      </c>
      <c r="N30" s="387"/>
      <c r="O30" s="387"/>
      <c r="P30" s="387"/>
      <c r="Q30" s="399">
        <f>Q4</f>
        <v>45228</v>
      </c>
      <c r="R30" s="400"/>
      <c r="S30" s="401" t="str">
        <f>S4</f>
        <v>14:40</v>
      </c>
      <c r="T30" s="402"/>
      <c r="U30" s="389" t="str">
        <f>U4</f>
        <v/>
      </c>
      <c r="V30" s="388"/>
    </row>
    <row r="31" spans="3:23" ht="12.75" customHeight="1" thickBot="1" x14ac:dyDescent="0.3"/>
    <row r="32" spans="3:23" ht="17.25" thickBot="1" x14ac:dyDescent="0.3">
      <c r="D32" s="390" t="str">
        <f>D6</f>
        <v>"Спортшкола - Юноши" г.Ялта</v>
      </c>
      <c r="E32" s="391"/>
      <c r="F32" s="391"/>
      <c r="G32" s="391"/>
      <c r="H32" s="391"/>
      <c r="I32" s="391"/>
      <c r="J32" s="391"/>
      <c r="K32" s="391"/>
      <c r="L32" s="392"/>
      <c r="M32" s="109"/>
      <c r="N32" s="393" t="str">
        <f>N6</f>
        <v>«СШ №3(2)» г.Симферополь</v>
      </c>
      <c r="O32" s="394"/>
      <c r="P32" s="394"/>
      <c r="Q32" s="394"/>
      <c r="R32" s="394"/>
      <c r="S32" s="394"/>
      <c r="T32" s="394"/>
      <c r="U32" s="394"/>
      <c r="V32" s="395"/>
    </row>
    <row r="33" spans="4:22" ht="14.1" customHeight="1" x14ac:dyDescent="0.25">
      <c r="D33" s="396" t="s">
        <v>82</v>
      </c>
      <c r="E33" s="397"/>
      <c r="F33" s="397"/>
      <c r="G33" s="397"/>
      <c r="H33" s="397"/>
      <c r="I33" s="397"/>
      <c r="J33" s="397"/>
      <c r="K33" s="397"/>
      <c r="L33" s="398"/>
      <c r="N33" s="396" t="s">
        <v>82</v>
      </c>
      <c r="O33" s="397"/>
      <c r="P33" s="397"/>
      <c r="Q33" s="397"/>
      <c r="R33" s="397"/>
      <c r="S33" s="397"/>
      <c r="T33" s="397"/>
      <c r="U33" s="397"/>
      <c r="V33" s="398"/>
    </row>
    <row r="34" spans="4:22" ht="14.1" customHeight="1" x14ac:dyDescent="0.25">
      <c r="D34" s="110">
        <f t="shared" ref="D34:D41" si="0">D8</f>
        <v>91</v>
      </c>
      <c r="E34" s="382" t="str">
        <f>IF(D34=0,0,VLOOKUP(D34,Список!E:O,2,FALSE))</f>
        <v xml:space="preserve"> Бородин Илья Николаевич</v>
      </c>
      <c r="F34" s="383"/>
      <c r="G34" s="383"/>
      <c r="H34" s="383"/>
      <c r="I34" s="383"/>
      <c r="J34" s="383"/>
      <c r="K34" s="384"/>
      <c r="L34" s="208">
        <f>IF(D34=0,0,VLOOKUP(D34,Список!E:O,5,FALSE))</f>
        <v>869.89</v>
      </c>
      <c r="N34" s="110">
        <f t="shared" ref="N34:N41" si="1">N8</f>
        <v>101</v>
      </c>
      <c r="O34" s="382" t="str">
        <f>IF(N34=0,0,VLOOKUP(N34,Список!E:O,2,FALSE))</f>
        <v xml:space="preserve"> Талалай Игорь Сергеевич</v>
      </c>
      <c r="P34" s="383"/>
      <c r="Q34" s="383"/>
      <c r="R34" s="383"/>
      <c r="S34" s="383"/>
      <c r="T34" s="383"/>
      <c r="U34" s="384"/>
      <c r="V34" s="208">
        <f>IF(N34=0,0,VLOOKUP(N34,Список!E:O,5,FALSE))</f>
        <v>661.3</v>
      </c>
    </row>
    <row r="35" spans="4:22" ht="14.1" customHeight="1" x14ac:dyDescent="0.25">
      <c r="D35" s="110">
        <f t="shared" si="0"/>
        <v>92</v>
      </c>
      <c r="E35" s="382" t="str">
        <f>IF(D35=0,0,VLOOKUP(D35,Список!E:O,2,FALSE))</f>
        <v xml:space="preserve"> Чекалов Никита Геннадьевич</v>
      </c>
      <c r="F35" s="383"/>
      <c r="G35" s="383"/>
      <c r="H35" s="383"/>
      <c r="I35" s="383"/>
      <c r="J35" s="383"/>
      <c r="K35" s="384"/>
      <c r="L35" s="208">
        <f>IF(D35=0,0,VLOOKUP(D35,Список!E:O,5,FALSE))</f>
        <v>654.87</v>
      </c>
      <c r="N35" s="110">
        <f t="shared" si="1"/>
        <v>102</v>
      </c>
      <c r="O35" s="382" t="str">
        <f>IF(N35=0,0,VLOOKUP(N35,Список!E:O,2,FALSE))</f>
        <v xml:space="preserve"> Назаренко Олег Михайлович</v>
      </c>
      <c r="P35" s="383"/>
      <c r="Q35" s="383"/>
      <c r="R35" s="383"/>
      <c r="S35" s="383"/>
      <c r="T35" s="383"/>
      <c r="U35" s="384"/>
      <c r="V35" s="210">
        <f>IF(N35=0,0,VLOOKUP(N35,Список!E:O,5,FALSE))</f>
        <v>644.27</v>
      </c>
    </row>
    <row r="36" spans="4:22" ht="14.1" customHeight="1" x14ac:dyDescent="0.25">
      <c r="D36" s="110">
        <f t="shared" si="0"/>
        <v>93</v>
      </c>
      <c r="E36" s="382" t="str">
        <f>IF(D36=0,0,VLOOKUP(D36,Список!E:O,2,FALSE))</f>
        <v xml:space="preserve"> Груздов Дарион Сергеевич</v>
      </c>
      <c r="F36" s="383"/>
      <c r="G36" s="383"/>
      <c r="H36" s="383"/>
      <c r="I36" s="383"/>
      <c r="J36" s="383"/>
      <c r="K36" s="384"/>
      <c r="L36" s="208">
        <f>IF(D36=0,0,VLOOKUP(D36,Список!E:O,5,FALSE))</f>
        <v>542.61</v>
      </c>
      <c r="N36" s="110">
        <f t="shared" si="1"/>
        <v>103</v>
      </c>
      <c r="O36" s="382" t="str">
        <f>IF(N36=0,0,VLOOKUP(N36,Список!E:O,2,FALSE))</f>
        <v xml:space="preserve"> Романовский Александр Витальевич</v>
      </c>
      <c r="P36" s="383"/>
      <c r="Q36" s="383"/>
      <c r="R36" s="383"/>
      <c r="S36" s="383"/>
      <c r="T36" s="383"/>
      <c r="U36" s="384"/>
      <c r="V36" s="210">
        <f>IF(N36=0,0,VLOOKUP(N36,Список!E:O,5,FALSE))</f>
        <v>589.5</v>
      </c>
    </row>
    <row r="37" spans="4:22" ht="14.1" customHeight="1" x14ac:dyDescent="0.25">
      <c r="D37" s="110">
        <f t="shared" si="0"/>
        <v>94</v>
      </c>
      <c r="E37" s="382" t="str">
        <f>IF(D37=0,0,VLOOKUP(D37,Список!E:O,2,FALSE))</f>
        <v xml:space="preserve"> Чекалов Дмитрий Геннадьевич</v>
      </c>
      <c r="F37" s="383"/>
      <c r="G37" s="383"/>
      <c r="H37" s="383"/>
      <c r="I37" s="383"/>
      <c r="J37" s="383"/>
      <c r="K37" s="384"/>
      <c r="L37" s="208">
        <f>IF(D37=0,0,VLOOKUP(D37,Список!E:O,5,FALSE))</f>
        <v>531.85</v>
      </c>
      <c r="N37" s="110">
        <f t="shared" si="1"/>
        <v>104</v>
      </c>
      <c r="O37" s="382" t="str">
        <f>IF(N37=0,0,VLOOKUP(N37,Список!E:O,2,FALSE))</f>
        <v xml:space="preserve"> Алексеев Игорь Юрьевич</v>
      </c>
      <c r="P37" s="383"/>
      <c r="Q37" s="383"/>
      <c r="R37" s="383"/>
      <c r="S37" s="383"/>
      <c r="T37" s="383"/>
      <c r="U37" s="384"/>
      <c r="V37" s="210">
        <f>IF(N37=0,0,VLOOKUP(N37,Список!E:O,5,FALSE))</f>
        <v>584.39</v>
      </c>
    </row>
    <row r="38" spans="4:22" ht="14.1" customHeight="1" x14ac:dyDescent="0.25">
      <c r="D38" s="110">
        <f t="shared" si="0"/>
        <v>95</v>
      </c>
      <c r="E38" s="382" t="str">
        <f>IF(D38=0,0,VLOOKUP(D38,Список!E:O,2,FALSE))</f>
        <v xml:space="preserve"> Михайленко Кирилл Вадимович</v>
      </c>
      <c r="F38" s="383"/>
      <c r="G38" s="383"/>
      <c r="H38" s="383"/>
      <c r="I38" s="383"/>
      <c r="J38" s="383"/>
      <c r="K38" s="384"/>
      <c r="L38" s="208">
        <f>IF(D38=0,0,VLOOKUP(D38,Список!E:O,5,FALSE))</f>
        <v>509.52</v>
      </c>
      <c r="N38" s="110">
        <f t="shared" si="1"/>
        <v>105</v>
      </c>
      <c r="O38" s="382" t="str">
        <f>IF(N38=0,0,VLOOKUP(N38,Список!E:O,2,FALSE))</f>
        <v xml:space="preserve"> Тимофеев Александр Сергеевич</v>
      </c>
      <c r="P38" s="383"/>
      <c r="Q38" s="383"/>
      <c r="R38" s="383"/>
      <c r="S38" s="383"/>
      <c r="T38" s="383"/>
      <c r="U38" s="384"/>
      <c r="V38" s="210">
        <f>IF(N38=0,0,VLOOKUP(N38,Список!E:O,5,FALSE))</f>
        <v>539.14</v>
      </c>
    </row>
    <row r="39" spans="4:22" ht="14.1" customHeight="1" x14ac:dyDescent="0.25">
      <c r="D39" s="110">
        <f t="shared" si="0"/>
        <v>96</v>
      </c>
      <c r="E39" s="382" t="str">
        <f>IF(D39=0,0,VLOOKUP(D39,Список!E:O,2,FALSE))</f>
        <v xml:space="preserve"> Груздов Даниэль Сергеевич</v>
      </c>
      <c r="F39" s="383"/>
      <c r="G39" s="383"/>
      <c r="H39" s="383"/>
      <c r="I39" s="383"/>
      <c r="J39" s="383"/>
      <c r="K39" s="384"/>
      <c r="L39" s="208">
        <f>IF(D39=0,0,VLOOKUP(D39,Список!E:O,5,FALSE))</f>
        <v>434.55</v>
      </c>
      <c r="N39" s="110">
        <f t="shared" si="1"/>
        <v>106</v>
      </c>
      <c r="O39" s="382" t="str">
        <f>IF(N39=0,0,VLOOKUP(N39,Список!E:O,2,FALSE))</f>
        <v xml:space="preserve"> Спорышев Александр Алексеевич</v>
      </c>
      <c r="P39" s="383"/>
      <c r="Q39" s="383"/>
      <c r="R39" s="383"/>
      <c r="S39" s="383"/>
      <c r="T39" s="383"/>
      <c r="U39" s="384"/>
      <c r="V39" s="210">
        <f>IF(N39=0,0,VLOOKUP(N39,Список!E:O,5,FALSE))</f>
        <v>521.19000000000005</v>
      </c>
    </row>
    <row r="40" spans="4:22" ht="14.1" customHeight="1" x14ac:dyDescent="0.25">
      <c r="D40" s="110">
        <f t="shared" si="0"/>
        <v>97</v>
      </c>
      <c r="E40" s="382" t="str">
        <f>IF(D40=0,0,VLOOKUP(D40,Список!E:O,2,FALSE))</f>
        <v>-</v>
      </c>
      <c r="F40" s="383"/>
      <c r="G40" s="383"/>
      <c r="H40" s="383"/>
      <c r="I40" s="383"/>
      <c r="J40" s="383"/>
      <c r="K40" s="384"/>
      <c r="L40" s="208" t="str">
        <f>IF(D40=0,0,VLOOKUP(D40,Список!E:O,5,FALSE))</f>
        <v>-</v>
      </c>
      <c r="N40" s="110">
        <f t="shared" si="1"/>
        <v>107</v>
      </c>
      <c r="O40" s="382" t="str">
        <f>IF(N40=0,0,VLOOKUP(N40,Список!E:O,2,FALSE))</f>
        <v>-</v>
      </c>
      <c r="P40" s="383"/>
      <c r="Q40" s="383"/>
      <c r="R40" s="383"/>
      <c r="S40" s="383"/>
      <c r="T40" s="383"/>
      <c r="U40" s="384"/>
      <c r="V40" s="210" t="str">
        <f>IF(N40=0,0,VLOOKUP(N40,Список!E:O,5,FALSE))</f>
        <v>-</v>
      </c>
    </row>
    <row r="41" spans="4:22" ht="14.1" customHeight="1" thickBot="1" x14ac:dyDescent="0.3">
      <c r="D41" s="124">
        <f t="shared" si="0"/>
        <v>98</v>
      </c>
      <c r="E41" s="423" t="str">
        <f>IF(D41=0,0,VLOOKUP(D41,Список!E:O,2,FALSE))</f>
        <v>-</v>
      </c>
      <c r="F41" s="424"/>
      <c r="G41" s="424"/>
      <c r="H41" s="424"/>
      <c r="I41" s="424"/>
      <c r="J41" s="424"/>
      <c r="K41" s="425"/>
      <c r="L41" s="209" t="str">
        <f>IF(D41=0,0,VLOOKUP(D41,Список!E:O,5,FALSE))</f>
        <v>-</v>
      </c>
      <c r="N41" s="124">
        <f t="shared" si="1"/>
        <v>108</v>
      </c>
      <c r="O41" s="423" t="str">
        <f>IF(N41=0,0,VLOOKUP(N41,Список!E:O,2,FALSE))</f>
        <v>-</v>
      </c>
      <c r="P41" s="424"/>
      <c r="Q41" s="424"/>
      <c r="R41" s="424"/>
      <c r="S41" s="424"/>
      <c r="T41" s="424"/>
      <c r="U41" s="425"/>
      <c r="V41" s="211" t="str">
        <f>IF(N41=0,0,VLOOKUP(N41,Список!E:O,5,FALSE))</f>
        <v>-</v>
      </c>
    </row>
    <row r="42" spans="4:22" x14ac:dyDescent="0.25">
      <c r="D42" s="421" t="s">
        <v>83</v>
      </c>
      <c r="E42" s="421"/>
      <c r="F42" s="422" t="str">
        <f>F16</f>
        <v>Прима В.А.</v>
      </c>
      <c r="G42" s="422"/>
      <c r="H42" s="422"/>
      <c r="I42" s="422"/>
      <c r="J42" s="422"/>
      <c r="K42" s="422"/>
      <c r="L42" s="422"/>
      <c r="M42" s="106"/>
      <c r="N42" s="421" t="s">
        <v>83</v>
      </c>
      <c r="O42" s="421"/>
      <c r="P42" s="422" t="str">
        <f>P16</f>
        <v>Филатов Д.В.</v>
      </c>
      <c r="Q42" s="422"/>
      <c r="R42" s="422"/>
      <c r="S42" s="422"/>
      <c r="T42" s="422"/>
      <c r="U42" s="422"/>
      <c r="V42" s="422"/>
    </row>
    <row r="43" spans="4:22" ht="12.75" customHeight="1" x14ac:dyDescent="0.25"/>
    <row r="44" spans="4:22" ht="24.75" x14ac:dyDescent="0.25">
      <c r="D44" s="442" t="s">
        <v>85</v>
      </c>
      <c r="E44" s="443"/>
      <c r="F44" s="443"/>
      <c r="G44" s="443"/>
      <c r="H44" s="443"/>
      <c r="I44" s="443"/>
      <c r="J44" s="443"/>
      <c r="K44" s="443"/>
      <c r="L44" s="444"/>
      <c r="N44" s="445" t="s">
        <v>111</v>
      </c>
      <c r="O44" s="446"/>
      <c r="P44" s="447"/>
      <c r="Q44" s="447"/>
      <c r="R44" s="447"/>
      <c r="S44" s="447"/>
      <c r="T44" s="447"/>
      <c r="U44" s="447"/>
      <c r="V44" s="448"/>
    </row>
    <row r="45" spans="4:22" ht="18" customHeight="1" x14ac:dyDescent="0.25">
      <c r="D45" s="439" t="s">
        <v>86</v>
      </c>
      <c r="E45" s="440"/>
      <c r="F45" s="440"/>
      <c r="G45" s="440"/>
      <c r="H45" s="440"/>
      <c r="I45" s="440"/>
      <c r="J45" s="440"/>
      <c r="K45" s="440"/>
      <c r="L45" s="441"/>
      <c r="N45" s="113" t="s">
        <v>35</v>
      </c>
      <c r="O45" s="114"/>
      <c r="P45" s="436"/>
      <c r="Q45" s="437"/>
      <c r="R45" s="437"/>
      <c r="S45" s="437"/>
      <c r="T45" s="437"/>
      <c r="U45" s="437"/>
      <c r="V45" s="438"/>
    </row>
    <row r="46" spans="4:22" ht="18" customHeight="1" x14ac:dyDescent="0.25">
      <c r="D46" s="449" t="s">
        <v>87</v>
      </c>
      <c r="E46" s="450"/>
      <c r="F46" s="450"/>
      <c r="G46" s="450"/>
      <c r="H46" s="450"/>
      <c r="I46" s="450"/>
      <c r="J46" s="450"/>
      <c r="K46" s="450"/>
      <c r="L46" s="451"/>
      <c r="N46" s="115" t="s">
        <v>34</v>
      </c>
      <c r="O46" s="116"/>
      <c r="P46" s="412"/>
      <c r="Q46" s="413"/>
      <c r="R46" s="413"/>
      <c r="S46" s="413"/>
      <c r="T46" s="413"/>
      <c r="U46" s="413"/>
      <c r="V46" s="414"/>
    </row>
    <row r="47" spans="4:22" ht="18" customHeight="1" x14ac:dyDescent="0.25">
      <c r="D47" s="118" t="s">
        <v>88</v>
      </c>
      <c r="E47" s="415" t="s">
        <v>89</v>
      </c>
      <c r="F47" s="416"/>
      <c r="G47" s="416"/>
      <c r="H47" s="416"/>
      <c r="I47" s="416"/>
      <c r="J47" s="416"/>
      <c r="K47" s="416"/>
      <c r="L47" s="417"/>
      <c r="N47" s="115" t="s">
        <v>37</v>
      </c>
      <c r="O47" s="116"/>
      <c r="P47" s="412"/>
      <c r="Q47" s="413"/>
      <c r="R47" s="413"/>
      <c r="S47" s="413"/>
      <c r="T47" s="413"/>
      <c r="U47" s="413"/>
      <c r="V47" s="414"/>
    </row>
    <row r="48" spans="4:22" ht="18" customHeight="1" x14ac:dyDescent="0.25">
      <c r="D48" s="119" t="str">
        <f>N22</f>
        <v xml:space="preserve"> </v>
      </c>
      <c r="E48" s="418" t="str">
        <f>O22</f>
        <v xml:space="preserve"> </v>
      </c>
      <c r="F48" s="419"/>
      <c r="G48" s="419"/>
      <c r="H48" s="419"/>
      <c r="I48" s="419"/>
      <c r="J48" s="419"/>
      <c r="K48" s="419"/>
      <c r="L48" s="420"/>
      <c r="N48" s="452" t="s">
        <v>83</v>
      </c>
      <c r="O48" s="453"/>
      <c r="P48" s="430"/>
      <c r="Q48" s="431"/>
      <c r="R48" s="431"/>
      <c r="S48" s="431"/>
      <c r="T48" s="431"/>
      <c r="U48" s="431"/>
      <c r="V48" s="432"/>
    </row>
    <row r="49" spans="1:24" ht="18" customHeight="1" x14ac:dyDescent="0.25">
      <c r="C49" s="122"/>
      <c r="D49" s="119" t="str">
        <f>N23</f>
        <v xml:space="preserve"> </v>
      </c>
      <c r="E49" s="418" t="str">
        <f>O23</f>
        <v xml:space="preserve"> </v>
      </c>
      <c r="F49" s="419"/>
      <c r="G49" s="419"/>
      <c r="H49" s="419"/>
      <c r="I49" s="419"/>
      <c r="J49" s="419"/>
      <c r="K49" s="419"/>
      <c r="L49" s="420"/>
      <c r="M49" s="123"/>
      <c r="N49" s="454"/>
      <c r="O49" s="455"/>
      <c r="P49" s="433"/>
      <c r="Q49" s="434"/>
      <c r="R49" s="434"/>
      <c r="S49" s="434"/>
      <c r="T49" s="434"/>
      <c r="U49" s="434"/>
      <c r="V49" s="435"/>
      <c r="W49" s="122"/>
    </row>
    <row r="50" spans="1:24" ht="12" customHeight="1" x14ac:dyDescent="0.25">
      <c r="D50" s="125">
        <f>D24</f>
        <v>45</v>
      </c>
      <c r="G50" s="106"/>
      <c r="H50" s="106"/>
      <c r="I50" s="106"/>
      <c r="K50" s="106"/>
      <c r="L50" s="106"/>
    </row>
    <row r="51" spans="1:24" x14ac:dyDescent="0.25">
      <c r="A51" s="123"/>
      <c r="B51" s="123"/>
      <c r="C51" s="122"/>
      <c r="D51" s="122"/>
      <c r="E51" s="122"/>
      <c r="F51" s="122"/>
      <c r="G51" s="123"/>
      <c r="H51" s="123"/>
      <c r="I51" s="123"/>
      <c r="J51" s="122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2"/>
      <c r="V51" s="122"/>
      <c r="W51" s="122"/>
      <c r="X51" s="122"/>
    </row>
    <row r="52" spans="1:24" x14ac:dyDescent="0.25">
      <c r="A52" s="123"/>
      <c r="B52" s="123"/>
      <c r="C52" s="122"/>
      <c r="D52" s="122"/>
      <c r="E52" s="122"/>
      <c r="F52" s="122"/>
      <c r="G52" s="123"/>
      <c r="H52" s="123"/>
      <c r="I52" s="123"/>
      <c r="J52" s="122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2"/>
      <c r="V52" s="122"/>
      <c r="W52" s="122"/>
      <c r="X52" s="122"/>
    </row>
  </sheetData>
  <mergeCells count="99">
    <mergeCell ref="N20:V20"/>
    <mergeCell ref="D16:E16"/>
    <mergeCell ref="U30:V30"/>
    <mergeCell ref="D32:L32"/>
    <mergeCell ref="N32:V32"/>
    <mergeCell ref="D30:E30"/>
    <mergeCell ref="F30:J30"/>
    <mergeCell ref="K30:L30"/>
    <mergeCell ref="M30:P30"/>
    <mergeCell ref="Q30:R30"/>
    <mergeCell ref="S30:T30"/>
    <mergeCell ref="D18:E18"/>
    <mergeCell ref="F18:L18"/>
    <mergeCell ref="N18:V18"/>
    <mergeCell ref="N16:O16"/>
    <mergeCell ref="P16:V16"/>
    <mergeCell ref="E48:L48"/>
    <mergeCell ref="E49:L49"/>
    <mergeCell ref="D44:L44"/>
    <mergeCell ref="N44:O44"/>
    <mergeCell ref="P44:V44"/>
    <mergeCell ref="D45:L45"/>
    <mergeCell ref="P45:V45"/>
    <mergeCell ref="D46:L46"/>
    <mergeCell ref="P46:V46"/>
    <mergeCell ref="N48:O49"/>
    <mergeCell ref="P48:V49"/>
    <mergeCell ref="E47:L47"/>
    <mergeCell ref="P47:V47"/>
    <mergeCell ref="E34:K34"/>
    <mergeCell ref="E35:K35"/>
    <mergeCell ref="E36:K36"/>
    <mergeCell ref="E15:K15"/>
    <mergeCell ref="O15:U15"/>
    <mergeCell ref="O34:U34"/>
    <mergeCell ref="O35:U35"/>
    <mergeCell ref="O36:U36"/>
    <mergeCell ref="D33:L33"/>
    <mergeCell ref="N33:V33"/>
    <mergeCell ref="F16:L16"/>
    <mergeCell ref="D22:E23"/>
    <mergeCell ref="F22:L23"/>
    <mergeCell ref="F19:L19"/>
    <mergeCell ref="N19:V19"/>
    <mergeCell ref="F20:L20"/>
    <mergeCell ref="E39:K39"/>
    <mergeCell ref="E40:K40"/>
    <mergeCell ref="E37:K37"/>
    <mergeCell ref="E38:K38"/>
    <mergeCell ref="O37:U37"/>
    <mergeCell ref="O38:U38"/>
    <mergeCell ref="O39:U39"/>
    <mergeCell ref="O40:U40"/>
    <mergeCell ref="D42:E42"/>
    <mergeCell ref="F42:L42"/>
    <mergeCell ref="N42:O42"/>
    <mergeCell ref="P42:V42"/>
    <mergeCell ref="E41:K41"/>
    <mergeCell ref="O41:U41"/>
    <mergeCell ref="O11:U11"/>
    <mergeCell ref="E14:K14"/>
    <mergeCell ref="O10:U10"/>
    <mergeCell ref="O9:U9"/>
    <mergeCell ref="E13:K13"/>
    <mergeCell ref="E12:K12"/>
    <mergeCell ref="E11:K11"/>
    <mergeCell ref="O14:U14"/>
    <mergeCell ref="O13:U13"/>
    <mergeCell ref="O12:U12"/>
    <mergeCell ref="E10:K10"/>
    <mergeCell ref="E9:K9"/>
    <mergeCell ref="Q29:R29"/>
    <mergeCell ref="S29:V29"/>
    <mergeCell ref="F21:L21"/>
    <mergeCell ref="O21:V21"/>
    <mergeCell ref="O22:V22"/>
    <mergeCell ref="O23:V23"/>
    <mergeCell ref="C28:W28"/>
    <mergeCell ref="C27:W27"/>
    <mergeCell ref="D29:P29"/>
    <mergeCell ref="C1:W1"/>
    <mergeCell ref="A2:B3"/>
    <mergeCell ref="D3:P3"/>
    <mergeCell ref="Q3:R3"/>
    <mergeCell ref="S3:V3"/>
    <mergeCell ref="C2:W2"/>
    <mergeCell ref="E8:K8"/>
    <mergeCell ref="D4:E4"/>
    <mergeCell ref="F4:J4"/>
    <mergeCell ref="K4:L4"/>
    <mergeCell ref="M4:P4"/>
    <mergeCell ref="O8:U8"/>
    <mergeCell ref="U4:V4"/>
    <mergeCell ref="D6:L6"/>
    <mergeCell ref="N6:V6"/>
    <mergeCell ref="D7:L7"/>
    <mergeCell ref="N7:V7"/>
    <mergeCell ref="Q4:R4"/>
    <mergeCell ref="S4:T4"/>
  </mergeCells>
  <printOptions horizontalCentered="1" verticalCentered="1"/>
  <pageMargins left="0" right="0" top="0" bottom="0" header="0.51181102362204722" footer="1.6929133858267718"/>
  <pageSetup paperSize="9" scale="94" orientation="portrait" r:id="rId1"/>
  <rowBreaks count="1" manualBreakCount="1">
    <brk id="25" min="2" max="2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00B050"/>
    <pageSetUpPr fitToPage="1"/>
  </sheetPr>
  <dimension ref="A1:IU102"/>
  <sheetViews>
    <sheetView topLeftCell="C4" zoomScale="50" zoomScaleNormal="50" zoomScaleSheetLayoutView="40" workbookViewId="0">
      <selection activeCell="BN18" sqref="BN18:BT18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«Спортшкола» г. Ялта</v>
      </c>
      <c r="B1" s="576"/>
      <c r="C1" s="577" t="str">
        <f>IF(D11="","",VLOOKUP(D11,Список!B:O,12,FALSE))</f>
        <v>"Спортшкола - Юноши" г.Ялта</v>
      </c>
      <c r="D1" s="578"/>
      <c r="E1" s="579">
        <v>25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71</v>
      </c>
      <c r="B2" s="13" t="str">
        <f>IF(A2="","",VLOOKUP(A2,Список!E:O,2,FALSE))</f>
        <v xml:space="preserve"> Маслий Дмитрий Владимирович</v>
      </c>
      <c r="C2" s="14">
        <f>IF($B$11="","",$D$11*10+1)</f>
        <v>91</v>
      </c>
      <c r="D2" s="15" t="str">
        <f>IF(C2="","",VLOOKUP(C2,Список!E:O,2,FALSE))</f>
        <v xml:space="preserve"> Бородин Илья Николаевич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72</v>
      </c>
      <c r="B3" s="13" t="str">
        <f>IF(A3="","",VLOOKUP(A3,Список!E:O,2,FALSE))</f>
        <v xml:space="preserve"> Худенко Александр Сергеевич</v>
      </c>
      <c r="C3" s="14">
        <f>IF($B$11="","",$D$11*10+2)</f>
        <v>92</v>
      </c>
      <c r="D3" s="15" t="str">
        <f>IF(C3="","",VLOOKUP(C3,Список!E:O,2,FALSE))</f>
        <v xml:space="preserve"> Чекалов Никита Геннадьевич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73</v>
      </c>
      <c r="B4" s="13" t="str">
        <f>IF(A4="","",VLOOKUP(A4,Список!E:O,2,FALSE))</f>
        <v xml:space="preserve"> Размысловский Павел Алексеевич</v>
      </c>
      <c r="C4" s="14">
        <f>IF($B$11="","",$D$11*10+3)</f>
        <v>93</v>
      </c>
      <c r="D4" s="15" t="str">
        <f>IF(C4="","",VLOOKUP(C4,Список!E:O,2,FALSE))</f>
        <v xml:space="preserve"> Груздов Дарион Сергеевич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74</v>
      </c>
      <c r="B5" s="13" t="str">
        <f>IF(A5="","",VLOOKUP(A5,Список!E:O,2,FALSE))</f>
        <v xml:space="preserve"> Иванов Константин Николаевич</v>
      </c>
      <c r="C5" s="14">
        <f>IF($B$11="","",$D$11*10+4)</f>
        <v>94</v>
      </c>
      <c r="D5" s="15" t="str">
        <f>IF(C5="","",VLOOKUP(C5,Список!E:O,2,FALSE))</f>
        <v xml:space="preserve"> Чекалов Дмитрий Геннадьевич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75</v>
      </c>
      <c r="B6" s="13" t="str">
        <f>IF(A6="","",VLOOKUP(A6,Список!E:O,2,FALSE))</f>
        <v xml:space="preserve"> Поляков Дмитрий Игоревич</v>
      </c>
      <c r="C6" s="14">
        <f>IF($B$11="","",$D$11*10+5)</f>
        <v>95</v>
      </c>
      <c r="D6" s="15" t="str">
        <f>IF(C6="","",VLOOKUP(C6,Список!E:O,2,FALSE))</f>
        <v xml:space="preserve"> Михайленко Кирилл Вадимович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76</v>
      </c>
      <c r="B7" s="13" t="str">
        <f>IF(A7="","",VLOOKUP(A7,Список!E:O,2,FALSE))</f>
        <v xml:space="preserve"> Гузенко Глеб Русланович</v>
      </c>
      <c r="C7" s="14">
        <f>IF($B$11="","",$D$11*10+6)</f>
        <v>96</v>
      </c>
      <c r="D7" s="15" t="str">
        <f>IF(C7="","",VLOOKUP(C7,Список!E:O,2,FALSE))</f>
        <v xml:space="preserve"> Груздов Даниэль Сергеевич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77</v>
      </c>
      <c r="B8" s="13" t="str">
        <f>IF(A8="","",VLOOKUP(A8,Список!E:O,2,FALSE))</f>
        <v>-</v>
      </c>
      <c r="C8" s="14">
        <f>IF($B$11="","",$D$11*10+7)</f>
        <v>97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«Спортшкола» г. 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"Спортшкола - Юноши" г.Ялта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78</v>
      </c>
      <c r="B9" s="13" t="str">
        <f>IF(A9="","",VLOOKUP(A9,Список!E:O,2,FALSE))</f>
        <v>-</v>
      </c>
      <c r="C9" s="14">
        <f>IF($B$11="","",$D$11*10+8)</f>
        <v>98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7</v>
      </c>
      <c r="C11" s="27" t="s">
        <v>18</v>
      </c>
      <c r="D11" s="29">
        <f>IF(B11="","",IF(B11=A13,C13,IF(B11=C13,A13,)))</f>
        <v>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«Спортшкола» г. Ялта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"Спортшкола - Юноши" г.Ялта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45227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16:00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70</v>
      </c>
      <c r="D12" s="25">
        <f>IF(B11="","",D11*10)</f>
        <v>90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7</v>
      </c>
      <c r="B13" s="566"/>
      <c r="C13" s="565">
        <f>IF($E$1="","",VLOOKUP($E$1,'Общее расписание'!$B:$V,3,FALSE))</f>
        <v>9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Прима В.А.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Прима В.А.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5, встреча 25, 7 - 9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25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72</v>
      </c>
      <c r="C16" s="41" t="s">
        <v>35</v>
      </c>
      <c r="D16" s="40">
        <v>95</v>
      </c>
      <c r="E16" s="42" t="s">
        <v>155</v>
      </c>
      <c r="F16" s="42" t="s">
        <v>153</v>
      </c>
      <c r="G16" s="42" t="s">
        <v>166</v>
      </c>
      <c r="H16" s="42"/>
      <c r="I16" s="42"/>
      <c r="J16" s="43">
        <f>IF(E16="","",IF(E16="0",1000,IF(E16="-0",-1000,E16*1)))</f>
        <v>5</v>
      </c>
      <c r="K16" s="43">
        <f>IF(F16="","",IF(F16="0",1000,IF(F16="-0",-1000,F16*1)))</f>
        <v>7</v>
      </c>
      <c r="L16" s="43">
        <f>IF(G16="","",IF(G16="0",1000,IF(G16="-0",-1000,G16*1)))</f>
        <v>8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1</v>
      </c>
      <c r="Q16" s="44">
        <f t="shared" si="0"/>
        <v>1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0</v>
      </c>
      <c r="V16" s="45">
        <f t="shared" si="1"/>
        <v>0</v>
      </c>
      <c r="W16" s="45" t="str">
        <f t="shared" si="1"/>
        <v/>
      </c>
      <c r="X16" s="45" t="str">
        <f t="shared" si="1"/>
        <v/>
      </c>
      <c r="Y16" s="46">
        <f>IF(E16="","",SUM(O16:S16))</f>
        <v>3</v>
      </c>
      <c r="Z16" s="46">
        <f>IF(E16="","",SUM(T16:X16))</f>
        <v>0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Худенко Александр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Михайленко Кирилл Вадимович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5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7</v>
      </c>
      <c r="FF16" s="320"/>
      <c r="FG16" s="320"/>
      <c r="FH16" s="321"/>
      <c r="FI16" s="322">
        <f>IF(G16="","",IF(L16&gt;9,HY16,HW16))</f>
        <v>11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8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0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5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7</v>
      </c>
      <c r="HW16" s="49">
        <f>IF(G16="","",IF(L16=1000,11,IF(L16=-1000,0,IF(L16&gt;0,11,IF(L16&lt;0,(-L16),"0")))))</f>
        <v>11</v>
      </c>
      <c r="HX16" s="50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8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11</v>
      </c>
      <c r="IL16" s="56" t="str">
        <f>IF(H16="","",FS16*1)</f>
        <v/>
      </c>
      <c r="IM16" s="56" t="str">
        <f>IF(I16="","",GC16*1)</f>
        <v/>
      </c>
      <c r="IN16" s="57">
        <f>IF(E16="","",EU16*1)</f>
        <v>5</v>
      </c>
      <c r="IO16" s="57">
        <f>IF(F16="","",FE16*1)</f>
        <v>7</v>
      </c>
      <c r="IP16" s="57">
        <f>IF(G16="","",FO16*1)</f>
        <v>8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33</v>
      </c>
      <c r="IT16" s="58">
        <f>IF(E16="","",SUM(IN16:IR16))</f>
        <v>20</v>
      </c>
    </row>
    <row r="17" spans="1:254" ht="30" customHeight="1" x14ac:dyDescent="0.35">
      <c r="A17" s="39" t="s">
        <v>18</v>
      </c>
      <c r="B17" s="40">
        <v>74</v>
      </c>
      <c r="C17" s="41" t="s">
        <v>34</v>
      </c>
      <c r="D17" s="40">
        <v>92</v>
      </c>
      <c r="E17" s="42" t="s">
        <v>154</v>
      </c>
      <c r="F17" s="42" t="s">
        <v>171</v>
      </c>
      <c r="G17" s="42" t="s">
        <v>152</v>
      </c>
      <c r="H17" s="42" t="s">
        <v>169</v>
      </c>
      <c r="I17" s="42"/>
      <c r="J17" s="43">
        <f t="shared" ref="J17:N20" si="2">IF(E17="","",IF(E17="0",1000,IF(E17="-0",-1000,E17*1)))</f>
        <v>6</v>
      </c>
      <c r="K17" s="43">
        <f t="shared" si="2"/>
        <v>-6</v>
      </c>
      <c r="L17" s="43">
        <f t="shared" si="2"/>
        <v>-7</v>
      </c>
      <c r="M17" s="43">
        <f t="shared" si="2"/>
        <v>-8</v>
      </c>
      <c r="N17" s="43" t="str">
        <f t="shared" si="2"/>
        <v/>
      </c>
      <c r="O17" s="44">
        <f>IF(J17="","",IF(J17&gt;0,1,0))</f>
        <v>1</v>
      </c>
      <c r="P17" s="44">
        <f t="shared" si="0"/>
        <v>0</v>
      </c>
      <c r="Q17" s="44">
        <f t="shared" si="0"/>
        <v>0</v>
      </c>
      <c r="R17" s="44">
        <f t="shared" si="0"/>
        <v>0</v>
      </c>
      <c r="S17" s="44" t="str">
        <f t="shared" si="0"/>
        <v/>
      </c>
      <c r="T17" s="45">
        <f t="shared" si="1"/>
        <v>0</v>
      </c>
      <c r="U17" s="45">
        <f t="shared" si="1"/>
        <v>1</v>
      </c>
      <c r="V17" s="45">
        <f t="shared" si="1"/>
        <v>1</v>
      </c>
      <c r="W17" s="45">
        <f t="shared" si="1"/>
        <v>1</v>
      </c>
      <c r="X17" s="45" t="str">
        <f t="shared" si="1"/>
        <v/>
      </c>
      <c r="Y17" s="46">
        <f>IF(E17="","",SUM(O17:S17))</f>
        <v>1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Иванов Константин Николаевич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Чекалов Никита Геннадьевич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6</v>
      </c>
      <c r="EV17" s="255"/>
      <c r="EW17" s="255"/>
      <c r="EX17" s="256"/>
      <c r="EY17" s="257">
        <f>IF(F17="","",IF(K17&gt;9,HU17,HS17))</f>
        <v>6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7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>
        <f>IF(H17="","",IF(M17&gt;9,IC17,IA17))</f>
        <v>8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1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6</v>
      </c>
      <c r="HS17" s="53">
        <f>IF(F17="","",IF(K17=1000,11,IF(K17=-1000,0,IF(K17&gt;0,11,IF(K17&lt;0,(-K17),"0")))))</f>
        <v>6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7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>
        <f>IF(H17="","",IF(M17=1000,11,IF(M17=-1000,0,IF(M17&gt;0,11,IF(M17&lt;0,(-M17),"0")))))</f>
        <v>8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11</v>
      </c>
      <c r="IJ17" s="56">
        <f>IF(F17="","",EY17*1)</f>
        <v>6</v>
      </c>
      <c r="IK17" s="56">
        <f>IF(G17="","",FI17*1)</f>
        <v>7</v>
      </c>
      <c r="IL17" s="56">
        <f>IF(H17="","",FS17*1)</f>
        <v>8</v>
      </c>
      <c r="IM17" s="56" t="str">
        <f>IF(I17="","",GC17*1)</f>
        <v/>
      </c>
      <c r="IN17" s="57">
        <f>IF(E17="","",EU17*1)</f>
        <v>6</v>
      </c>
      <c r="IO17" s="57">
        <f>IF(F17="","",FE17*1)</f>
        <v>11</v>
      </c>
      <c r="IP17" s="57">
        <f>IF(G17="","",FO17*1)</f>
        <v>11</v>
      </c>
      <c r="IQ17" s="57">
        <f>IF(H17="","",FY17*1)</f>
        <v>11</v>
      </c>
      <c r="IR17" s="57" t="str">
        <f>IF(I17="","",GI17*1)</f>
        <v/>
      </c>
      <c r="IS17" s="58">
        <f>IF(E17="","",SUM(II17:IM17))</f>
        <v>32</v>
      </c>
      <c r="IT17" s="58">
        <f>IF(E17="","",SUM(IN17:IR17))</f>
        <v>39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94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Чекалов Дмитрий Геннадьевич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72</v>
      </c>
      <c r="C19" s="41" t="s">
        <v>34</v>
      </c>
      <c r="D19" s="59">
        <f>IF(D17=0,"",D17)</f>
        <v>92</v>
      </c>
      <c r="E19" s="42" t="s">
        <v>154</v>
      </c>
      <c r="F19" s="42" t="s">
        <v>154</v>
      </c>
      <c r="G19" s="42" t="s">
        <v>176</v>
      </c>
      <c r="H19" s="42"/>
      <c r="I19" s="42"/>
      <c r="J19" s="43">
        <f t="shared" si="2"/>
        <v>6</v>
      </c>
      <c r="K19" s="43">
        <f t="shared" si="2"/>
        <v>6</v>
      </c>
      <c r="L19" s="43">
        <f t="shared" si="2"/>
        <v>10</v>
      </c>
      <c r="M19" s="43" t="str">
        <f t="shared" si="2"/>
        <v/>
      </c>
      <c r="N19" s="43" t="str">
        <f t="shared" si="2"/>
        <v/>
      </c>
      <c r="O19" s="44">
        <f>IF(J19="","",IF(J19&gt;0,1,0))</f>
        <v>1</v>
      </c>
      <c r="P19" s="44">
        <f t="shared" si="0"/>
        <v>1</v>
      </c>
      <c r="Q19" s="44">
        <f t="shared" si="0"/>
        <v>1</v>
      </c>
      <c r="R19" s="44" t="str">
        <f t="shared" si="0"/>
        <v/>
      </c>
      <c r="S19" s="44" t="str">
        <f t="shared" si="0"/>
        <v/>
      </c>
      <c r="T19" s="45">
        <f t="shared" si="1"/>
        <v>0</v>
      </c>
      <c r="U19" s="45">
        <f t="shared" si="1"/>
        <v>0</v>
      </c>
      <c r="V19" s="45">
        <f t="shared" si="1"/>
        <v>0</v>
      </c>
      <c r="W19" s="45" t="str">
        <f t="shared" si="1"/>
        <v/>
      </c>
      <c r="X19" s="45" t="str">
        <f t="shared" si="1"/>
        <v/>
      </c>
      <c r="Y19" s="46">
        <f>IF(E19="","",SUM(O19:S19))</f>
        <v>3</v>
      </c>
      <c r="Z19" s="46">
        <f>IF(E19="","",SUM(T19:X19))</f>
        <v>0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Худенко Александр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Чекалов Никита Геннадьевич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11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6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6</v>
      </c>
      <c r="FF19" s="255"/>
      <c r="FG19" s="255"/>
      <c r="FH19" s="256"/>
      <c r="FI19" s="257">
        <f>IF(G19="","",IF(L19&gt;9,HY19,HW19))</f>
        <v>12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10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0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6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6</v>
      </c>
      <c r="HW19" s="49">
        <f>IF(G19="","",IF(L19=1000,11,IF(L19=-1000,0,IF(L19&gt;0,11,IF(L19&lt;0,(-L19),"0")))))</f>
        <v>11</v>
      </c>
      <c r="HX19" s="50">
        <f>IF(G19="","",IF(L19=1000,0,IF(L19=-1000,11,IF(L19&lt;-9,-(L19-2),IF(L19&gt;0,(GW19),"0")))))</f>
        <v>0</v>
      </c>
      <c r="HY19" s="51">
        <f>IF(G19="","",IF(L19=1000,11,IF(L19=-1000,0,IF(L19&lt;9,11,IF(L19&gt;9,(L19+2),"0")))))</f>
        <v>12</v>
      </c>
      <c r="HZ19" s="52">
        <f>IF(G19="","",IF(L19=1000,0,IF(L19=-1000,11,IF(L19&lt;0,11,IF(L19&gt;0,(L19),"0")))))</f>
        <v>10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11</v>
      </c>
      <c r="IJ19" s="56">
        <f>IF(F19="","",EY19*1)</f>
        <v>11</v>
      </c>
      <c r="IK19" s="56">
        <f>IF(G19="","",FI19*1)</f>
        <v>12</v>
      </c>
      <c r="IL19" s="56" t="str">
        <f>IF(H19="","",FS19*1)</f>
        <v/>
      </c>
      <c r="IM19" s="56" t="str">
        <f>IF(I19="","",GC19*1)</f>
        <v/>
      </c>
      <c r="IN19" s="57">
        <f>IF(E19="","",EU19*1)</f>
        <v>6</v>
      </c>
      <c r="IO19" s="57">
        <f>IF(F19="","",FE19*1)</f>
        <v>6</v>
      </c>
      <c r="IP19" s="57">
        <f>IF(G19="","",FO19*1)</f>
        <v>10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34</v>
      </c>
      <c r="IT19" s="58">
        <f>IF(E19="","",SUM(IN19:IR19))</f>
        <v>22</v>
      </c>
    </row>
    <row r="20" spans="1:254" ht="30" customHeight="1" thickBot="1" x14ac:dyDescent="0.4">
      <c r="A20" s="39" t="s">
        <v>18</v>
      </c>
      <c r="B20" s="59">
        <f>IF(B17=0,"",B17)</f>
        <v>74</v>
      </c>
      <c r="C20" s="41" t="s">
        <v>35</v>
      </c>
      <c r="D20" s="59">
        <f>IF(D16=0,"",D16)</f>
        <v>95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Иванов Константин Николаевич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Михайленко Кирилл Вадимович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 t="str">
        <f>IF(HA21&gt;HH21,B11,IF(HH21&gt;HA21,D11,"-"))</f>
        <v>-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/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7</v>
      </c>
      <c r="GN21" s="222"/>
      <c r="GO21" s="222"/>
      <c r="GP21" s="222"/>
      <c r="GQ21" s="222"/>
      <c r="GR21" s="222"/>
      <c r="GS21" s="223"/>
      <c r="GT21" s="224">
        <f>IF(E16="","",SUM(GT16:GZ20))</f>
        <v>6</v>
      </c>
      <c r="GU21" s="225"/>
      <c r="GV21" s="225"/>
      <c r="GW21" s="225"/>
      <c r="GX21" s="225"/>
      <c r="GY21" s="225"/>
      <c r="GZ21" s="226"/>
      <c r="HA21" s="227">
        <f>IF(E16="","",SUM(HA16:HG20))</f>
        <v>2</v>
      </c>
      <c r="HB21" s="228"/>
      <c r="HC21" s="228"/>
      <c r="HD21" s="228"/>
      <c r="HE21" s="228"/>
      <c r="HF21" s="228"/>
      <c r="HG21" s="229"/>
      <c r="HH21" s="230">
        <f>IF(E16="","",SUM(HH16:HN20))</f>
        <v>2</v>
      </c>
      <c r="HI21" s="228"/>
      <c r="HJ21" s="228"/>
      <c r="HK21" s="228"/>
      <c r="HL21" s="228"/>
      <c r="HM21" s="228"/>
      <c r="HN21" s="231"/>
      <c r="IS21" s="64">
        <f>IF(E16="","",SUM(IS16:IS20))</f>
        <v>99</v>
      </c>
      <c r="IT21" s="65">
        <f>IF(E16="","",SUM(IT16:IT20))</f>
        <v>114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25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«Спортшкола» г. Ялта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"Спортшкола - Юноши" г.Ялта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72</v>
      </c>
      <c r="F57" s="481"/>
      <c r="G57" s="9"/>
      <c r="H57" s="480">
        <f>C2</f>
        <v>91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>
        <v>0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>
        <v>0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73</v>
      </c>
      <c r="F58" s="481"/>
      <c r="G58" s="9"/>
      <c r="H58" s="480">
        <f>C4</f>
        <v>93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>
        <v>0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>
        <v>0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76</v>
      </c>
      <c r="F59" s="481"/>
      <c r="G59" s="9"/>
      <c r="H59" s="480">
        <f>C7</f>
        <v>96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77</v>
      </c>
      <c r="F60" s="481"/>
      <c r="G60" s="9"/>
      <c r="H60" s="480">
        <f>C8</f>
        <v>97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78</v>
      </c>
      <c r="F61" s="481"/>
      <c r="G61" s="9"/>
      <c r="H61" s="480">
        <f>C9</f>
        <v>98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79</v>
      </c>
      <c r="F62" s="481"/>
      <c r="G62" s="9"/>
      <c r="H62" s="480">
        <f>1+H61</f>
        <v>99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80</v>
      </c>
      <c r="F63" s="481"/>
      <c r="G63" s="9"/>
      <c r="H63" s="480">
        <f>1+H62</f>
        <v>100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81</v>
      </c>
      <c r="F64" s="481"/>
      <c r="G64" s="9"/>
      <c r="H64" s="480">
        <f>1+H63</f>
        <v>101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82</v>
      </c>
      <c r="F65" s="481"/>
      <c r="G65" s="9"/>
      <c r="H65" s="480">
        <f>1+H64</f>
        <v>102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83</v>
      </c>
      <c r="F66" s="481"/>
      <c r="G66" s="9"/>
      <c r="H66" s="480">
        <f>1+H65</f>
        <v>103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  <pageSetUpPr fitToPage="1"/>
  </sheetPr>
  <dimension ref="A1:IU102"/>
  <sheetViews>
    <sheetView zoomScale="50" zoomScaleNormal="50" zoomScaleSheetLayoutView="40" workbookViewId="0">
      <selection activeCell="AH19" sqref="AH19:BM19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«Дрим Тим» г.Симферополь</v>
      </c>
      <c r="B1" s="576"/>
      <c r="C1" s="577" t="str">
        <f>IF(D11="","",VLOOKUP(D11,Список!B:O,12,FALSE))</f>
        <v>"РУСИЧИ" г.Симферополь</v>
      </c>
      <c r="D1" s="578"/>
      <c r="E1" s="579">
        <v>26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41</v>
      </c>
      <c r="B2" s="13" t="str">
        <f>IF(A2="","",VLOOKUP(A2,Список!E:O,2,FALSE))</f>
        <v xml:space="preserve"> Гаврилов Денис Михайлович</v>
      </c>
      <c r="C2" s="14">
        <f>IF($B$11="","",$D$11*10+1)</f>
        <v>11</v>
      </c>
      <c r="D2" s="15" t="str">
        <f>IF(C2="","",VLOOKUP(C2,Список!E:O,2,FALSE))</f>
        <v xml:space="preserve"> Кривошеев Вячеслав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42</v>
      </c>
      <c r="B3" s="13" t="str">
        <f>IF(A3="","",VLOOKUP(A3,Список!E:O,2,FALSE))</f>
        <v xml:space="preserve"> Курило Игорь Сергеевич</v>
      </c>
      <c r="C3" s="14">
        <f>IF($B$11="","",$D$11*10+2)</f>
        <v>12</v>
      </c>
      <c r="D3" s="15" t="str">
        <f>IF(C3="","",VLOOKUP(C3,Список!E:O,2,FALSE))</f>
        <v xml:space="preserve"> Панченко Артем Иванович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43</v>
      </c>
      <c r="B4" s="13" t="str">
        <f>IF(A4="","",VLOOKUP(A4,Список!E:O,2,FALSE))</f>
        <v xml:space="preserve"> Длугоканский Андрей Александрович</v>
      </c>
      <c r="C4" s="14">
        <f>IF($B$11="","",$D$11*10+3)</f>
        <v>13</v>
      </c>
      <c r="D4" s="15" t="str">
        <f>IF(C4="","",VLOOKUP(C4,Список!E:O,2,FALSE))</f>
        <v xml:space="preserve"> Исаков Илья Павлович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44</v>
      </c>
      <c r="B5" s="13" t="str">
        <f>IF(A5="","",VLOOKUP(A5,Список!E:O,2,FALSE))</f>
        <v xml:space="preserve"> Полтев Данил Сергеевич</v>
      </c>
      <c r="C5" s="14">
        <f>IF($B$11="","",$D$11*10+4)</f>
        <v>14</v>
      </c>
      <c r="D5" s="15" t="str">
        <f>IF(C5="","",VLOOKUP(C5,Список!E:O,2,FALSE))</f>
        <v xml:space="preserve"> Масовер Андрей Ромазанович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45</v>
      </c>
      <c r="B6" s="13" t="str">
        <f>IF(A6="","",VLOOKUP(A6,Список!E:O,2,FALSE))</f>
        <v xml:space="preserve"> Ткаченко Владимир Михайлович</v>
      </c>
      <c r="C6" s="14">
        <f>IF($B$11="","",$D$11*10+5)</f>
        <v>15</v>
      </c>
      <c r="D6" s="15" t="str">
        <f>IF(C6="","",VLOOKUP(C6,Список!E:O,2,FALSE))</f>
        <v xml:space="preserve"> Губанов Никита Сергеевич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46</v>
      </c>
      <c r="B7" s="13" t="str">
        <f>IF(A7="","",VLOOKUP(A7,Список!E:O,2,FALSE))</f>
        <v xml:space="preserve"> Животов Дмитрий Викторович</v>
      </c>
      <c r="C7" s="14">
        <f>IF($B$11="","",$D$11*10+6)</f>
        <v>16</v>
      </c>
      <c r="D7" s="15" t="str">
        <f>IF(C7="","",VLOOKUP(C7,Список!E:O,2,FALSE))</f>
        <v xml:space="preserve"> Зайцев Игорь Владимирович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47</v>
      </c>
      <c r="B8" s="13" t="str">
        <f>IF(A8="","",VLOOKUP(A8,Список!E:O,2,FALSE))</f>
        <v xml:space="preserve"> Скоробогатов Евгений Петрович</v>
      </c>
      <c r="C8" s="14">
        <f>IF($B$11="","",$D$11*10+7)</f>
        <v>17</v>
      </c>
      <c r="D8" s="15" t="str">
        <f>IF(C8="","",VLOOKUP(C8,Список!E:O,2,FALSE))</f>
        <v xml:space="preserve"> Щепетнев Дмитрий Владимирович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«Дрим Тим»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"РУСИЧИ"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48</v>
      </c>
      <c r="B9" s="13" t="str">
        <f>IF(A9="","",VLOOKUP(A9,Список!E:O,2,FALSE))</f>
        <v xml:space="preserve"> Скоробогатов Александр Евгеньевич</v>
      </c>
      <c r="C9" s="14">
        <f>IF($B$11="","",$D$11*10+8)</f>
        <v>18</v>
      </c>
      <c r="D9" s="15" t="str">
        <f>IF(C9="","",VLOOKUP(C9,Список!E:O,2,FALSE))</f>
        <v xml:space="preserve"> Панков Леонид Александрович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4</v>
      </c>
      <c r="C11" s="27" t="s">
        <v>18</v>
      </c>
      <c r="D11" s="29">
        <f>IF(B11="","",IF(B11=A13,C13,IF(B11=C13,A13,)))</f>
        <v>1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«Дрим Тим»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"РУСИЧИ"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40</v>
      </c>
      <c r="D12" s="25">
        <f>IF(B11="","",D11*10)</f>
        <v>10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4</v>
      </c>
      <c r="B13" s="566"/>
      <c r="C13" s="565">
        <f>IF($E$1="","",VLOOKUP($E$1,'Общее расписание'!$B:$V,3,FALSE))</f>
        <v>1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Скоробогатов Е.П.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Панков Л.А.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6, встреча 26, 4 - 1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26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44</v>
      </c>
      <c r="C16" s="41" t="s">
        <v>35</v>
      </c>
      <c r="D16" s="40">
        <v>17</v>
      </c>
      <c r="E16" s="42" t="s">
        <v>176</v>
      </c>
      <c r="F16" s="42" t="s">
        <v>173</v>
      </c>
      <c r="G16" s="42" t="s">
        <v>169</v>
      </c>
      <c r="H16" s="42" t="s">
        <v>174</v>
      </c>
      <c r="I16" s="42"/>
      <c r="J16" s="43">
        <f>IF(E16="","",IF(E16="0",1000,IF(E16="-0",-1000,E16*1)))</f>
        <v>10</v>
      </c>
      <c r="K16" s="43">
        <f>IF(F16="","",IF(F16="0",1000,IF(F16="-0",-1000,F16*1)))</f>
        <v>-4</v>
      </c>
      <c r="L16" s="43">
        <f>IF(G16="","",IF(G16="0",1000,IF(G16="-0",-1000,G16*1)))</f>
        <v>-8</v>
      </c>
      <c r="M16" s="43">
        <f>IF(H16="","",IF(H16="0",1000,IF(H16="-0",-1000,H16*1)))</f>
        <v>-3</v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0</v>
      </c>
      <c r="Q16" s="44">
        <f t="shared" si="0"/>
        <v>0</v>
      </c>
      <c r="R16" s="44">
        <f t="shared" si="0"/>
        <v>0</v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1</v>
      </c>
      <c r="V16" s="45">
        <f t="shared" si="1"/>
        <v>1</v>
      </c>
      <c r="W16" s="45">
        <f t="shared" si="1"/>
        <v>1</v>
      </c>
      <c r="X16" s="45" t="str">
        <f t="shared" si="1"/>
        <v/>
      </c>
      <c r="Y16" s="46">
        <f>IF(E16="","",SUM(O16:S16))</f>
        <v>1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Полтев Данил Сергеевич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Щепетнев Дмитрий Владимирович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12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10</v>
      </c>
      <c r="EV16" s="320"/>
      <c r="EW16" s="320"/>
      <c r="EX16" s="321"/>
      <c r="EY16" s="322">
        <f>IF(F16="","",IF(K16&gt;9,HU16,HS16))</f>
        <v>4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8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3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1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12</v>
      </c>
      <c r="HR16" s="52">
        <f>IF(E16="","",IF(J16=1000,0,IF(J16=-1000,11,IF(J16&lt;0,11,IF(J16&gt;0,(J16),"0")))))</f>
        <v>10</v>
      </c>
      <c r="HS16" s="53">
        <f>IF(F16="","",IF(K16=1000,11,IF(K16=-1000,0,IF(K16&gt;0,11,IF(K16&lt;0,(-K16),"0")))))</f>
        <v>4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8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3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12</v>
      </c>
      <c r="IJ16" s="56">
        <f>IF(F16="","",EY16*1)</f>
        <v>4</v>
      </c>
      <c r="IK16" s="56">
        <f>IF(G16="","",FI16*1)</f>
        <v>8</v>
      </c>
      <c r="IL16" s="56">
        <f>IF(H16="","",FS16*1)</f>
        <v>3</v>
      </c>
      <c r="IM16" s="56" t="str">
        <f>IF(I16="","",GC16*1)</f>
        <v/>
      </c>
      <c r="IN16" s="57">
        <f>IF(E16="","",EU16*1)</f>
        <v>10</v>
      </c>
      <c r="IO16" s="57">
        <f>IF(F16="","",FE16*1)</f>
        <v>11</v>
      </c>
      <c r="IP16" s="57">
        <f>IF(G16="","",FO16*1)</f>
        <v>11</v>
      </c>
      <c r="IQ16" s="57">
        <f>IF(H16="","",FY16*1)</f>
        <v>11</v>
      </c>
      <c r="IR16" s="57" t="str">
        <f>IF(I16="","",GI16*1)</f>
        <v/>
      </c>
      <c r="IS16" s="58">
        <f>IF(E16="","",SUM(II16:IM16))</f>
        <v>27</v>
      </c>
      <c r="IT16" s="58">
        <f>IF(E16="","",SUM(IN16:IR16))</f>
        <v>43</v>
      </c>
    </row>
    <row r="17" spans="1:254" ht="30" customHeight="1" x14ac:dyDescent="0.35">
      <c r="A17" s="39" t="s">
        <v>18</v>
      </c>
      <c r="B17" s="40">
        <v>45</v>
      </c>
      <c r="C17" s="41" t="s">
        <v>34</v>
      </c>
      <c r="D17" s="40">
        <v>11</v>
      </c>
      <c r="E17" s="42" t="s">
        <v>173</v>
      </c>
      <c r="F17" s="42" t="s">
        <v>172</v>
      </c>
      <c r="G17" s="42" t="s">
        <v>163</v>
      </c>
      <c r="H17" s="42"/>
      <c r="I17" s="42"/>
      <c r="J17" s="43">
        <f t="shared" ref="J17:N20" si="2">IF(E17="","",IF(E17="0",1000,IF(E17="-0",-1000,E17*1)))</f>
        <v>-4</v>
      </c>
      <c r="K17" s="43">
        <f t="shared" si="2"/>
        <v>-5</v>
      </c>
      <c r="L17" s="43">
        <f t="shared" si="2"/>
        <v>-2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Ткаченко Владимир Михайлович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Кривошеев Вячеслав Александрович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4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5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2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4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5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2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4</v>
      </c>
      <c r="IJ17" s="56">
        <f>IF(F17="","",EY17*1)</f>
        <v>5</v>
      </c>
      <c r="IK17" s="56">
        <f>IF(G17="","",FI17*1)</f>
        <v>2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11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43</v>
      </c>
      <c r="C18" s="41" t="s">
        <v>37</v>
      </c>
      <c r="D18" s="40">
        <v>16</v>
      </c>
      <c r="E18" s="42" t="s">
        <v>153</v>
      </c>
      <c r="F18" s="42" t="s">
        <v>166</v>
      </c>
      <c r="G18" s="42" t="s">
        <v>152</v>
      </c>
      <c r="H18" s="42" t="s">
        <v>169</v>
      </c>
      <c r="I18" s="42" t="s">
        <v>160</v>
      </c>
      <c r="J18" s="43">
        <f t="shared" si="2"/>
        <v>7</v>
      </c>
      <c r="K18" s="43">
        <f t="shared" si="2"/>
        <v>8</v>
      </c>
      <c r="L18" s="43">
        <f t="shared" si="2"/>
        <v>-7</v>
      </c>
      <c r="M18" s="43">
        <f t="shared" si="2"/>
        <v>-8</v>
      </c>
      <c r="N18" s="43">
        <f t="shared" si="2"/>
        <v>3</v>
      </c>
      <c r="O18" s="44">
        <f>IF(J18="","",IF(J18&gt;0,1,0))</f>
        <v>1</v>
      </c>
      <c r="P18" s="44">
        <f t="shared" si="0"/>
        <v>1</v>
      </c>
      <c r="Q18" s="44">
        <f t="shared" si="0"/>
        <v>0</v>
      </c>
      <c r="R18" s="44">
        <f t="shared" si="0"/>
        <v>0</v>
      </c>
      <c r="S18" s="44">
        <f t="shared" si="0"/>
        <v>1</v>
      </c>
      <c r="T18" s="45">
        <f t="shared" si="1"/>
        <v>0</v>
      </c>
      <c r="U18" s="45">
        <f t="shared" si="1"/>
        <v>0</v>
      </c>
      <c r="V18" s="45">
        <f t="shared" si="1"/>
        <v>1</v>
      </c>
      <c r="W18" s="45">
        <f t="shared" si="1"/>
        <v>1</v>
      </c>
      <c r="X18" s="45">
        <f t="shared" si="1"/>
        <v>0</v>
      </c>
      <c r="Y18" s="46">
        <f>IF(E18="","",SUM(O18:S18))</f>
        <v>3</v>
      </c>
      <c r="Z18" s="46">
        <f>IF(E18="","",SUM(T18:X18))</f>
        <v>2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Длугоканский Андрей Александрович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Зайцев Игорь Владимирович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7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8</v>
      </c>
      <c r="FF18" s="255"/>
      <c r="FG18" s="255"/>
      <c r="FH18" s="256"/>
      <c r="FI18" s="257">
        <f>IF(G18="","",IF(L18&gt;9,HY18,HW18))</f>
        <v>7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>
        <f>IF(H18="","",IF(M18&gt;9,IC18,IA18))</f>
        <v>8</v>
      </c>
      <c r="FT18" s="255"/>
      <c r="FU18" s="255"/>
      <c r="FV18" s="255"/>
      <c r="FW18" s="254" t="str">
        <f>IF(FS18="","","-")</f>
        <v>-</v>
      </c>
      <c r="FX18" s="254"/>
      <c r="FY18" s="255">
        <f>IF(H18="","",IF(M18&lt;-9,IB18,ID18))</f>
        <v>11</v>
      </c>
      <c r="FZ18" s="255"/>
      <c r="GA18" s="255"/>
      <c r="GB18" s="256"/>
      <c r="GC18" s="257">
        <f>IF(I18="","",IF(N18&gt;9,IG18,IE18))</f>
        <v>11</v>
      </c>
      <c r="GD18" s="255"/>
      <c r="GE18" s="255"/>
      <c r="GF18" s="255"/>
      <c r="GG18" s="254" t="str">
        <f>IF(GC18="","","-")</f>
        <v>-</v>
      </c>
      <c r="GH18" s="254"/>
      <c r="GI18" s="255">
        <f>IF(I18="","",IF(N18&lt;-9,IF18,IH18))</f>
        <v>3</v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2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7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8</v>
      </c>
      <c r="HW18" s="49">
        <f>IF(G18="","",IF(L18=1000,11,IF(L18=-1000,0,IF(L18&gt;0,11,IF(L18&lt;0,(-L18),"0")))))</f>
        <v>7</v>
      </c>
      <c r="HX18" s="50" t="str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11</v>
      </c>
      <c r="IA18" s="53">
        <f>IF(H18="","",IF(M18=1000,11,IF(M18=-1000,0,IF(M18&gt;0,11,IF(M18&lt;0,(-M18),"0")))))</f>
        <v>8</v>
      </c>
      <c r="IB18" s="53" t="str">
        <f>IF(H18="","",IF(G18="","",IF(M18=1000,0,IF(M18=-1000,11,IF(M18&lt;-9,-(M18-2),IF(M18&gt;0,(GX18),"0"))))))</f>
        <v>0</v>
      </c>
      <c r="IC18" s="54">
        <f>IF(H18="","",IF(M18=1000,11,IF(M18=-1000,0,IF(M18&lt;9,11,IF(M18&gt;9,(M18+2),"0")))))</f>
        <v>11</v>
      </c>
      <c r="ID18" s="54">
        <f>IF(H18="","",IF(M18=1000,0,IF(M18=-1000,11,IF(M18&lt;0,11,IF(M18&gt;0,(M18),"0")))))</f>
        <v>11</v>
      </c>
      <c r="IE18" s="49">
        <f>IF(I18="","",IF(N18=1000,11,IF(N18=-1000,0,IF(N18&gt;0,11,IF(N18&lt;0,(-N18),"0")))))</f>
        <v>11</v>
      </c>
      <c r="IF18" s="50">
        <f>IF(I18="","",IF(N18=1000,0,IF(N18=-1000,11,IF(N18&lt;-9,-(N18-2),IF(N18&gt;0,(GY18),"0")))))</f>
        <v>0</v>
      </c>
      <c r="IG18" s="51">
        <f>IF(I18="","",IF(N18=1000,11,IF(N18=-1000,0,IF(N18&lt;9,11,IF(N18&gt;9,(N18+2),"0")))))</f>
        <v>11</v>
      </c>
      <c r="IH18" s="55">
        <f>IF(I18="","",IF(N18=1000,0,IF(N18=-1000,11,IF(N18&lt;0,11,IF(N18&gt;0,(N18),"0")))))</f>
        <v>3</v>
      </c>
      <c r="II18" s="56">
        <f>IF(E18="","",EO18*1)</f>
        <v>11</v>
      </c>
      <c r="IJ18" s="56">
        <f>IF(F18="","",EY18*1)</f>
        <v>11</v>
      </c>
      <c r="IK18" s="56">
        <f>IF(G18="","",FI18*1)</f>
        <v>7</v>
      </c>
      <c r="IL18" s="56">
        <f>IF(H18="","",FS18*1)</f>
        <v>8</v>
      </c>
      <c r="IM18" s="56">
        <f>IF(I18="","",GC18*1)</f>
        <v>11</v>
      </c>
      <c r="IN18" s="57">
        <f>IF(E18="","",EU18*1)</f>
        <v>7</v>
      </c>
      <c r="IO18" s="57">
        <f>IF(F18="","",FE18*1)</f>
        <v>8</v>
      </c>
      <c r="IP18" s="57">
        <f>IF(G18="","",FO18*1)</f>
        <v>11</v>
      </c>
      <c r="IQ18" s="57">
        <f>IF(H18="","",FY18*1)</f>
        <v>11</v>
      </c>
      <c r="IR18" s="57">
        <f>IF(I18="","",GI18*1)</f>
        <v>3</v>
      </c>
      <c r="IS18" s="58">
        <f>IF(E18="","",SUM(II18:IM18))</f>
        <v>48</v>
      </c>
      <c r="IT18" s="58">
        <f>IF(E18="","",SUM(IN18:IR18))</f>
        <v>40</v>
      </c>
    </row>
    <row r="19" spans="1:254" ht="30" customHeight="1" x14ac:dyDescent="0.2">
      <c r="A19" s="39" t="s">
        <v>17</v>
      </c>
      <c r="B19" s="59">
        <f>IF(B16=0,"",B16)</f>
        <v>44</v>
      </c>
      <c r="C19" s="41" t="s">
        <v>34</v>
      </c>
      <c r="D19" s="59">
        <f>IF(D17=0,"",D17)</f>
        <v>11</v>
      </c>
      <c r="E19" s="42" t="s">
        <v>169</v>
      </c>
      <c r="F19" s="42" t="s">
        <v>172</v>
      </c>
      <c r="G19" s="42" t="s">
        <v>171</v>
      </c>
      <c r="H19" s="42"/>
      <c r="I19" s="42"/>
      <c r="J19" s="43">
        <f t="shared" si="2"/>
        <v>-8</v>
      </c>
      <c r="K19" s="43">
        <f t="shared" si="2"/>
        <v>-5</v>
      </c>
      <c r="L19" s="43">
        <f t="shared" si="2"/>
        <v>-6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Полтев Данил Сергеевич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Кривошеев Вячеслав Александрович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8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5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6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8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5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6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8</v>
      </c>
      <c r="IJ19" s="56">
        <f>IF(F19="","",EY19*1)</f>
        <v>5</v>
      </c>
      <c r="IK19" s="56">
        <f>IF(G19="","",FI19*1)</f>
        <v>6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19</v>
      </c>
      <c r="IT19" s="58">
        <f>IF(E19="","",SUM(IN19:IR19))</f>
        <v>33</v>
      </c>
    </row>
    <row r="20" spans="1:254" ht="30" customHeight="1" thickBot="1" x14ac:dyDescent="0.4">
      <c r="A20" s="39" t="s">
        <v>18</v>
      </c>
      <c r="B20" s="59">
        <f>IF(B17=0,"",B17)</f>
        <v>45</v>
      </c>
      <c r="C20" s="41" t="s">
        <v>35</v>
      </c>
      <c r="D20" s="59">
        <f>IF(D16=0,"",D16)</f>
        <v>17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Ткаченко Владимир Михайлович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Щепетнев Дмитрий Владимирович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1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"РУСИЧИ"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4</v>
      </c>
      <c r="GN21" s="222"/>
      <c r="GO21" s="222"/>
      <c r="GP21" s="222"/>
      <c r="GQ21" s="222"/>
      <c r="GR21" s="222"/>
      <c r="GS21" s="223"/>
      <c r="GT21" s="224">
        <f>IF(E16="","",SUM(GT16:GZ20))</f>
        <v>11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105</v>
      </c>
      <c r="IT21" s="65">
        <f>IF(E16="","",SUM(IT16:IT20))</f>
        <v>149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26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«Дрим Тим»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"РУСИЧИ"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42</v>
      </c>
      <c r="F57" s="481"/>
      <c r="G57" s="9"/>
      <c r="H57" s="480">
        <f>C2</f>
        <v>11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43</v>
      </c>
      <c r="F58" s="481"/>
      <c r="G58" s="9"/>
      <c r="H58" s="480">
        <f>C4</f>
        <v>13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46</v>
      </c>
      <c r="F59" s="481"/>
      <c r="G59" s="9"/>
      <c r="H59" s="480">
        <f>C7</f>
        <v>16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47</v>
      </c>
      <c r="F60" s="481"/>
      <c r="G60" s="9"/>
      <c r="H60" s="480">
        <f>C8</f>
        <v>17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48</v>
      </c>
      <c r="F61" s="481"/>
      <c r="G61" s="9"/>
      <c r="H61" s="480">
        <f>C9</f>
        <v>18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49</v>
      </c>
      <c r="F62" s="481"/>
      <c r="G62" s="9"/>
      <c r="H62" s="480">
        <f>1+H61</f>
        <v>19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50</v>
      </c>
      <c r="F63" s="481"/>
      <c r="G63" s="9"/>
      <c r="H63" s="480">
        <f>1+H62</f>
        <v>20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51</v>
      </c>
      <c r="F64" s="481"/>
      <c r="G64" s="9"/>
      <c r="H64" s="480">
        <f>1+H63</f>
        <v>21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52</v>
      </c>
      <c r="F65" s="481"/>
      <c r="G65" s="9"/>
      <c r="H65" s="480">
        <f>1+H64</f>
        <v>22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53</v>
      </c>
      <c r="F66" s="481"/>
      <c r="G66" s="9"/>
      <c r="H66" s="480">
        <f>1+H65</f>
        <v>23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  <pageSetUpPr fitToPage="1"/>
  </sheetPr>
  <dimension ref="A1:IU102"/>
  <sheetViews>
    <sheetView topLeftCell="E1" zoomScale="50" zoomScaleNormal="50" zoomScaleSheetLayoutView="40" workbookViewId="0">
      <selection activeCell="H19" sqref="H19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«Рассвет» г.Симферополь</v>
      </c>
      <c r="B1" s="576"/>
      <c r="C1" s="577" t="str">
        <f>IF(D11="","",VLOOKUP(D11,Список!B:O,12,FALSE))</f>
        <v>«Интер»  г.Евпатория</v>
      </c>
      <c r="D1" s="578"/>
      <c r="E1" s="579">
        <v>27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51</v>
      </c>
      <c r="B2" s="13" t="str">
        <f>IF(A2="","",VLOOKUP(A2,Список!E:O,2,FALSE))</f>
        <v xml:space="preserve"> Пикульский Никита Петрович</v>
      </c>
      <c r="C2" s="14">
        <f>IF($B$11="","",$D$11*10+1)</f>
        <v>31</v>
      </c>
      <c r="D2" s="15" t="str">
        <f>IF(C2="","",VLOOKUP(C2,Список!E:O,2,FALSE))</f>
        <v xml:space="preserve"> Сорбало Владислав Федорович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52</v>
      </c>
      <c r="B3" s="13" t="str">
        <f>IF(A3="","",VLOOKUP(A3,Список!E:O,2,FALSE))</f>
        <v xml:space="preserve"> Третьяков Олег Маратович</v>
      </c>
      <c r="C3" s="14">
        <f>IF($B$11="","",$D$11*10+2)</f>
        <v>32</v>
      </c>
      <c r="D3" s="15" t="str">
        <f>IF(C3="","",VLOOKUP(C3,Список!E:O,2,FALSE))</f>
        <v xml:space="preserve"> Каулик Алексей Сергеевич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53</v>
      </c>
      <c r="B4" s="13" t="str">
        <f>IF(A4="","",VLOOKUP(A4,Список!E:O,2,FALSE))</f>
        <v xml:space="preserve"> Рехтин Андрей Павлович</v>
      </c>
      <c r="C4" s="14">
        <f>IF($B$11="","",$D$11*10+3)</f>
        <v>33</v>
      </c>
      <c r="D4" s="15" t="str">
        <f>IF(C4="","",VLOOKUP(C4,Список!E:O,2,FALSE))</f>
        <v xml:space="preserve"> Скрипин Василий Иванович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54</v>
      </c>
      <c r="B5" s="13" t="str">
        <f>IF(A5="","",VLOOKUP(A5,Список!E:O,2,FALSE))</f>
        <v xml:space="preserve"> Алёшкин Дмитрий Сергеевич</v>
      </c>
      <c r="C5" s="14">
        <f>IF($B$11="","",$D$11*10+4)</f>
        <v>34</v>
      </c>
      <c r="D5" s="15" t="str">
        <f>IF(C5="","",VLOOKUP(C5,Список!E:O,2,FALSE))</f>
        <v xml:space="preserve"> Сыч Станислав Викторович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55</v>
      </c>
      <c r="B6" s="13" t="str">
        <f>IF(A6="","",VLOOKUP(A6,Список!E:O,2,FALSE))</f>
        <v>-</v>
      </c>
      <c r="C6" s="14">
        <f>IF($B$11="","",$D$11*10+5)</f>
        <v>35</v>
      </c>
      <c r="D6" s="15" t="str">
        <f>IF(C6="","",VLOOKUP(C6,Список!E:O,2,FALSE))</f>
        <v xml:space="preserve"> Марусич Дмитрий Олегович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56</v>
      </c>
      <c r="B7" s="13" t="str">
        <f>IF(A7="","",VLOOKUP(A7,Список!E:O,2,FALSE))</f>
        <v>-</v>
      </c>
      <c r="C7" s="14">
        <f>IF($B$11="","",$D$11*10+6)</f>
        <v>36</v>
      </c>
      <c r="D7" s="15" t="str">
        <f>IF(C7="","",VLOOKUP(C7,Список!E:O,2,FALSE))</f>
        <v xml:space="preserve"> Кафиев Артур Рафаилович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57</v>
      </c>
      <c r="B8" s="13" t="str">
        <f>IF(A8="","",VLOOKUP(A8,Список!E:O,2,FALSE))</f>
        <v>-</v>
      </c>
      <c r="C8" s="14">
        <f>IF($B$11="","",$D$11*10+7)</f>
        <v>37</v>
      </c>
      <c r="D8" s="15" t="str">
        <f>IF(C8="","",VLOOKUP(C8,Список!E:O,2,FALSE))</f>
        <v xml:space="preserve"> Калинин Илья Валерьевич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«Рассвет»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«Интер»  г.Евпатория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58</v>
      </c>
      <c r="B9" s="13" t="str">
        <f>IF(A9="","",VLOOKUP(A9,Список!E:O,2,FALSE))</f>
        <v>-</v>
      </c>
      <c r="C9" s="14">
        <f>IF($B$11="","",$D$11*10+8)</f>
        <v>38</v>
      </c>
      <c r="D9" s="15" t="str">
        <f>IF(C9="","",VLOOKUP(C9,Список!E:O,2,FALSE))</f>
        <v xml:space="preserve"> Скрипин Иван Васильевич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5</v>
      </c>
      <c r="C11" s="27" t="s">
        <v>18</v>
      </c>
      <c r="D11" s="29">
        <f>IF(B11="","",IF(B11=A13,C13,IF(B11=C13,A13,)))</f>
        <v>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«Рассвет» г.Симферополь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«Интер»  г.Евпатория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50</v>
      </c>
      <c r="D12" s="25">
        <f>IF(B11="","",D11*10)</f>
        <v>30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5</v>
      </c>
      <c r="B13" s="566"/>
      <c r="C13" s="565">
        <f>IF($E$1="","",VLOOKUP($E$1,'Общее расписание'!$B:$V,3,FALSE))</f>
        <v>3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Пикульский Н., Третьяков О.М.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Хилик К.А., Скрипин В.И.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6, встреча 27, 5 - 3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27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52</v>
      </c>
      <c r="C16" s="41" t="s">
        <v>35</v>
      </c>
      <c r="D16" s="40">
        <v>32</v>
      </c>
      <c r="E16" s="42" t="s">
        <v>157</v>
      </c>
      <c r="F16" s="42" t="s">
        <v>165</v>
      </c>
      <c r="G16" s="42" t="s">
        <v>169</v>
      </c>
      <c r="H16" s="42" t="s">
        <v>152</v>
      </c>
      <c r="I16" s="42"/>
      <c r="J16" s="43">
        <f>IF(E16="","",IF(E16="0",1000,IF(E16="-0",-1000,E16*1)))</f>
        <v>9</v>
      </c>
      <c r="K16" s="43">
        <f>IF(F16="","",IF(F16="0",1000,IF(F16="-0",-1000,F16*1)))</f>
        <v>-11</v>
      </c>
      <c r="L16" s="43">
        <f>IF(G16="","",IF(G16="0",1000,IF(G16="-0",-1000,G16*1)))</f>
        <v>-8</v>
      </c>
      <c r="M16" s="43">
        <f>IF(H16="","",IF(H16="0",1000,IF(H16="-0",-1000,H16*1)))</f>
        <v>-7</v>
      </c>
      <c r="N16" s="43" t="str">
        <f>IF(I16="","",IF(I16="0",1000,IF(I16="-0",-1000,I16*1)))</f>
        <v/>
      </c>
      <c r="O16" s="44">
        <f>IF(J16="","",IF(J16&gt;0,1,0))</f>
        <v>1</v>
      </c>
      <c r="P16" s="44">
        <f t="shared" ref="P16:S20" si="0">IF(K16="","",IF(K16&gt;0,1,0))</f>
        <v>0</v>
      </c>
      <c r="Q16" s="44">
        <f t="shared" si="0"/>
        <v>0</v>
      </c>
      <c r="R16" s="44">
        <f t="shared" si="0"/>
        <v>0</v>
      </c>
      <c r="S16" s="44" t="str">
        <f t="shared" si="0"/>
        <v/>
      </c>
      <c r="T16" s="45">
        <f t="shared" ref="T16:X20" si="1">IF(J16="","",IF(J16&lt;0,1,0))</f>
        <v>0</v>
      </c>
      <c r="U16" s="45">
        <f t="shared" si="1"/>
        <v>1</v>
      </c>
      <c r="V16" s="45">
        <f t="shared" si="1"/>
        <v>1</v>
      </c>
      <c r="W16" s="45">
        <f t="shared" si="1"/>
        <v>1</v>
      </c>
      <c r="X16" s="45" t="str">
        <f t="shared" si="1"/>
        <v/>
      </c>
      <c r="Y16" s="46">
        <f>IF(E16="","",SUM(O16:S16))</f>
        <v>1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Третьяков Олег Маратович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Каулик Алексей Сергеевич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9</v>
      </c>
      <c r="EV16" s="320"/>
      <c r="EW16" s="320"/>
      <c r="EX16" s="321"/>
      <c r="EY16" s="322">
        <f>IF(F16="","",IF(K16&gt;9,HU16,HS16))</f>
        <v>11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13</v>
      </c>
      <c r="FF16" s="320"/>
      <c r="FG16" s="320"/>
      <c r="FH16" s="321"/>
      <c r="FI16" s="322">
        <f>IF(G16="","",IF(L16&gt;9,HY16,HW16))</f>
        <v>8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>
        <f>IF(H16="","",IF(M16&gt;9,IC16,IA16))</f>
        <v>7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11</v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1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 t="str">
        <f>IF(E16="","",IF(J16=1000,11,IF(J16=-1000,0,IF(J16&lt;9,11,IF(J16&gt;9,(J16+2),"0")))))</f>
        <v>0</v>
      </c>
      <c r="HR16" s="52">
        <f>IF(E16="","",IF(J16=1000,0,IF(J16=-1000,11,IF(J16&lt;0,11,IF(J16&gt;0,(J16),"0")))))</f>
        <v>9</v>
      </c>
      <c r="HS16" s="53">
        <f>IF(F16="","",IF(K16=1000,11,IF(K16=-1000,0,IF(K16&gt;0,11,IF(K16&lt;0,(-K16),"0")))))</f>
        <v>11</v>
      </c>
      <c r="HT16" s="53">
        <f>IF(F16="","",IF(K16=1000,0,IF(K16=-1000,11,IF(K16&lt;-9,-(K16-2),IF(K16&gt;0,(GV16),"0")))))</f>
        <v>13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8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7</v>
      </c>
      <c r="IB16" s="53" t="str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11</v>
      </c>
      <c r="ID16" s="54">
        <f>IF(H16="","",IF(M16=1000,0,IF(M16=-1000,11,IF(M16&lt;0,11,IF(M16&gt;0,(M16),"0")))))</f>
        <v>11</v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11</v>
      </c>
      <c r="IJ16" s="56">
        <f>IF(F16="","",EY16*1)</f>
        <v>11</v>
      </c>
      <c r="IK16" s="56">
        <f>IF(G16="","",FI16*1)</f>
        <v>8</v>
      </c>
      <c r="IL16" s="56">
        <f>IF(H16="","",FS16*1)</f>
        <v>7</v>
      </c>
      <c r="IM16" s="56" t="str">
        <f>IF(I16="","",GC16*1)</f>
        <v/>
      </c>
      <c r="IN16" s="57">
        <f>IF(E16="","",EU16*1)</f>
        <v>9</v>
      </c>
      <c r="IO16" s="57">
        <f>IF(F16="","",FE16*1)</f>
        <v>13</v>
      </c>
      <c r="IP16" s="57">
        <f>IF(G16="","",FO16*1)</f>
        <v>11</v>
      </c>
      <c r="IQ16" s="57">
        <f>IF(H16="","",FY16*1)</f>
        <v>11</v>
      </c>
      <c r="IR16" s="57" t="str">
        <f>IF(I16="","",GI16*1)</f>
        <v/>
      </c>
      <c r="IS16" s="58">
        <f>IF(E16="","",SUM(II16:IM16))</f>
        <v>37</v>
      </c>
      <c r="IT16" s="58">
        <f>IF(E16="","",SUM(IN16:IR16))</f>
        <v>44</v>
      </c>
    </row>
    <row r="17" spans="1:254" ht="30" customHeight="1" x14ac:dyDescent="0.35">
      <c r="A17" s="39" t="s">
        <v>18</v>
      </c>
      <c r="B17" s="40">
        <v>53</v>
      </c>
      <c r="C17" s="41" t="s">
        <v>34</v>
      </c>
      <c r="D17" s="40">
        <v>31</v>
      </c>
      <c r="E17" s="42" t="s">
        <v>169</v>
      </c>
      <c r="F17" s="42" t="s">
        <v>173</v>
      </c>
      <c r="G17" s="42" t="s">
        <v>152</v>
      </c>
      <c r="H17" s="42"/>
      <c r="I17" s="42"/>
      <c r="J17" s="43">
        <f t="shared" ref="J17:N20" si="2">IF(E17="","",IF(E17="0",1000,IF(E17="-0",-1000,E17*1)))</f>
        <v>-8</v>
      </c>
      <c r="K17" s="43">
        <f t="shared" si="2"/>
        <v>-4</v>
      </c>
      <c r="L17" s="43">
        <f t="shared" si="2"/>
        <v>-7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Рехтин Андрей Павлович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Сорбало Владислав Федорович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8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4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7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8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4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7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8</v>
      </c>
      <c r="IJ17" s="56">
        <f>IF(F17="","",EY17*1)</f>
        <v>4</v>
      </c>
      <c r="IK17" s="56">
        <f>IF(G17="","",FI17*1)</f>
        <v>7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11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19</v>
      </c>
      <c r="IT17" s="58">
        <f>IF(E17="","",SUM(IN17:IR17))</f>
        <v>33</v>
      </c>
    </row>
    <row r="18" spans="1:254" ht="30" customHeight="1" x14ac:dyDescent="0.2">
      <c r="A18" s="39" t="s">
        <v>36</v>
      </c>
      <c r="B18" s="40">
        <v>51</v>
      </c>
      <c r="C18" s="41" t="s">
        <v>37</v>
      </c>
      <c r="D18" s="40">
        <v>34</v>
      </c>
      <c r="E18" s="42" t="s">
        <v>166</v>
      </c>
      <c r="F18" s="42" t="s">
        <v>158</v>
      </c>
      <c r="G18" s="42" t="s">
        <v>155</v>
      </c>
      <c r="H18" s="42"/>
      <c r="I18" s="42"/>
      <c r="J18" s="43">
        <f t="shared" si="2"/>
        <v>8</v>
      </c>
      <c r="K18" s="43">
        <f t="shared" si="2"/>
        <v>1</v>
      </c>
      <c r="L18" s="43">
        <f t="shared" si="2"/>
        <v>5</v>
      </c>
      <c r="M18" s="43" t="str">
        <f t="shared" si="2"/>
        <v/>
      </c>
      <c r="N18" s="43" t="str">
        <f t="shared" si="2"/>
        <v/>
      </c>
      <c r="O18" s="44">
        <f>IF(J18="","",IF(J18&gt;0,1,0))</f>
        <v>1</v>
      </c>
      <c r="P18" s="44">
        <f t="shared" si="0"/>
        <v>1</v>
      </c>
      <c r="Q18" s="44">
        <f t="shared" si="0"/>
        <v>1</v>
      </c>
      <c r="R18" s="44" t="str">
        <f t="shared" si="0"/>
        <v/>
      </c>
      <c r="S18" s="44" t="str">
        <f t="shared" si="0"/>
        <v/>
      </c>
      <c r="T18" s="45">
        <f t="shared" si="1"/>
        <v>0</v>
      </c>
      <c r="U18" s="45">
        <f t="shared" si="1"/>
        <v>0</v>
      </c>
      <c r="V18" s="45">
        <f t="shared" si="1"/>
        <v>0</v>
      </c>
      <c r="W18" s="45" t="str">
        <f t="shared" si="1"/>
        <v/>
      </c>
      <c r="X18" s="45" t="str">
        <f t="shared" si="1"/>
        <v/>
      </c>
      <c r="Y18" s="46">
        <f>IF(E18="","",SUM(O18:S18))</f>
        <v>3</v>
      </c>
      <c r="Z18" s="46">
        <f>IF(E18="","",SUM(T18:X18))</f>
        <v>0</v>
      </c>
      <c r="AA18" s="47">
        <f>IF(E18="","",IF(Y18&gt;Z18,1,0))</f>
        <v>1</v>
      </c>
      <c r="AB18" s="48">
        <f>IF(E18="","",IF(Y18&lt;Z18,1,0))</f>
        <v>0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 xml:space="preserve"> Пикульский Никита Петрович</v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Сыч Станислав Викторович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11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8</v>
      </c>
      <c r="EV18" s="255"/>
      <c r="EW18" s="255"/>
      <c r="EX18" s="256"/>
      <c r="EY18" s="257">
        <f>IF(F18="","",IF(K18&gt;9,HU18,HS18))</f>
        <v>11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</v>
      </c>
      <c r="FF18" s="255"/>
      <c r="FG18" s="255"/>
      <c r="FH18" s="256"/>
      <c r="FI18" s="257">
        <f>IF(G18="","",IF(L18&gt;9,HY18,HW18))</f>
        <v>11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5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3</v>
      </c>
      <c r="GN18" s="247"/>
      <c r="GO18" s="247"/>
      <c r="GP18" s="247"/>
      <c r="GQ18" s="247"/>
      <c r="GR18" s="247"/>
      <c r="GS18" s="304"/>
      <c r="GT18" s="246">
        <f>Z18</f>
        <v>0</v>
      </c>
      <c r="GU18" s="247"/>
      <c r="GV18" s="247"/>
      <c r="GW18" s="247"/>
      <c r="GX18" s="247"/>
      <c r="GY18" s="247"/>
      <c r="GZ18" s="248"/>
      <c r="HA18" s="249">
        <f>AA18</f>
        <v>1</v>
      </c>
      <c r="HB18" s="250"/>
      <c r="HC18" s="250"/>
      <c r="HD18" s="250"/>
      <c r="HE18" s="250"/>
      <c r="HF18" s="250"/>
      <c r="HG18" s="251"/>
      <c r="HH18" s="252">
        <f>AB18</f>
        <v>0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11</v>
      </c>
      <c r="HP18" s="50">
        <f>IF(E18="","",IF(J18=1000,0,IF(J18=-1000,11,IF(J18&lt;-9,-(J18-2),IF(J18&gt;0,(GU18),"0")))))</f>
        <v>0</v>
      </c>
      <c r="HQ18" s="51">
        <f>IF(E18="","",IF(J18=1000,11,IF(J18=-1000,0,IF(J18&lt;9,11,IF(J18&gt;9,(J18+2),"0")))))</f>
        <v>11</v>
      </c>
      <c r="HR18" s="52">
        <f>IF(E18="","",IF(J18=1000,0,IF(J18=-1000,11,IF(J18&lt;0,11,IF(J18&gt;0,(J18),"0")))))</f>
        <v>8</v>
      </c>
      <c r="HS18" s="53">
        <f>IF(F18="","",IF(K18=1000,11,IF(K18=-1000,0,IF(K18&gt;0,11,IF(K18&lt;0,(-K18),"0")))))</f>
        <v>11</v>
      </c>
      <c r="HT18" s="53">
        <f>IF(F18="","",IF(K18=1000,0,IF(K18=-1000,11,IF(K18&lt;-9,-(K18-2),IF(K18&gt;0,(GV18),"0")))))</f>
        <v>0</v>
      </c>
      <c r="HU18" s="54">
        <f>IF(F18="","",IF(K18=1000,11,IF(K18=-1000,0,IF(K18&lt;9,11,IF(K18&gt;9,(K18+2),"0")))))</f>
        <v>11</v>
      </c>
      <c r="HV18" s="54">
        <f>IF(F18="","",IF(K18=1000,0,IF(K18=-1000,11,IF(K18&lt;0,11,IF(K18&gt;0,(K18),"0")))))</f>
        <v>1</v>
      </c>
      <c r="HW18" s="49">
        <f>IF(G18="","",IF(L18=1000,11,IF(L18=-1000,0,IF(L18&gt;0,11,IF(L18&lt;0,(-L18),"0")))))</f>
        <v>11</v>
      </c>
      <c r="HX18" s="50">
        <f>IF(G18="","",IF(L18=1000,0,IF(L18=-1000,11,IF(L18&lt;-9,-(L18-2),IF(L18&gt;0,(GW18),"0")))))</f>
        <v>0</v>
      </c>
      <c r="HY18" s="51">
        <f>IF(G18="","",IF(L18=1000,11,IF(L18=-1000,0,IF(L18&lt;9,11,IF(L18&gt;9,(L18+2),"0")))))</f>
        <v>11</v>
      </c>
      <c r="HZ18" s="52">
        <f>IF(G18="","",IF(L18=1000,0,IF(L18=-1000,11,IF(L18&lt;0,11,IF(L18&gt;0,(L18),"0")))))</f>
        <v>5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11</v>
      </c>
      <c r="IJ18" s="56">
        <f>IF(F18="","",EY18*1)</f>
        <v>11</v>
      </c>
      <c r="IK18" s="56">
        <f>IF(G18="","",FI18*1)</f>
        <v>11</v>
      </c>
      <c r="IL18" s="56" t="str">
        <f>IF(H18="","",FS18*1)</f>
        <v/>
      </c>
      <c r="IM18" s="56" t="str">
        <f>IF(I18="","",GC18*1)</f>
        <v/>
      </c>
      <c r="IN18" s="57">
        <f>IF(E18="","",EU18*1)</f>
        <v>8</v>
      </c>
      <c r="IO18" s="57">
        <f>IF(F18="","",FE18*1)</f>
        <v>1</v>
      </c>
      <c r="IP18" s="57">
        <f>IF(G18="","",FO18*1)</f>
        <v>5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33</v>
      </c>
      <c r="IT18" s="58">
        <f>IF(E18="","",SUM(IN18:IR18))</f>
        <v>14</v>
      </c>
    </row>
    <row r="19" spans="1:254" ht="30" customHeight="1" x14ac:dyDescent="0.2">
      <c r="A19" s="39" t="s">
        <v>17</v>
      </c>
      <c r="B19" s="59">
        <f>IF(B16=0,"",B16)</f>
        <v>52</v>
      </c>
      <c r="C19" s="41" t="s">
        <v>34</v>
      </c>
      <c r="D19" s="59">
        <f>IF(D17=0,"",D17)</f>
        <v>31</v>
      </c>
      <c r="E19" s="42" t="s">
        <v>152</v>
      </c>
      <c r="F19" s="42" t="s">
        <v>174</v>
      </c>
      <c r="G19" s="42" t="s">
        <v>172</v>
      </c>
      <c r="H19" s="42"/>
      <c r="I19" s="42"/>
      <c r="J19" s="43">
        <f t="shared" si="2"/>
        <v>-7</v>
      </c>
      <c r="K19" s="43">
        <f t="shared" si="2"/>
        <v>-3</v>
      </c>
      <c r="L19" s="43">
        <f t="shared" si="2"/>
        <v>-5</v>
      </c>
      <c r="M19" s="43" t="str">
        <f t="shared" si="2"/>
        <v/>
      </c>
      <c r="N19" s="43" t="str">
        <f t="shared" si="2"/>
        <v/>
      </c>
      <c r="O19" s="44">
        <f>IF(J19="","",IF(J19&gt;0,1,0))</f>
        <v>0</v>
      </c>
      <c r="P19" s="44">
        <f t="shared" si="0"/>
        <v>0</v>
      </c>
      <c r="Q19" s="44">
        <f t="shared" si="0"/>
        <v>0</v>
      </c>
      <c r="R19" s="44" t="str">
        <f t="shared" si="0"/>
        <v/>
      </c>
      <c r="S19" s="44" t="str">
        <f t="shared" si="0"/>
        <v/>
      </c>
      <c r="T19" s="45">
        <f t="shared" si="1"/>
        <v>1</v>
      </c>
      <c r="U19" s="45">
        <f t="shared" si="1"/>
        <v>1</v>
      </c>
      <c r="V19" s="45">
        <f t="shared" si="1"/>
        <v>1</v>
      </c>
      <c r="W19" s="45" t="str">
        <f t="shared" si="1"/>
        <v/>
      </c>
      <c r="X19" s="45" t="str">
        <f t="shared" si="1"/>
        <v/>
      </c>
      <c r="Y19" s="46">
        <f>IF(E19="","",SUM(O19:S19))</f>
        <v>0</v>
      </c>
      <c r="Z19" s="46">
        <f>IF(E19="","",SUM(T19:X19))</f>
        <v>3</v>
      </c>
      <c r="AA19" s="47">
        <f>IF(E19="","",IF(Y19&gt;Z19,1,0))</f>
        <v>0</v>
      </c>
      <c r="AB19" s="48">
        <f>IF(E19="","",IF(Y19&lt;Z19,1,0))</f>
        <v>1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Третьяков Олег Маратович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Сорбало Владислав Федорович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7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11</v>
      </c>
      <c r="EV19" s="255"/>
      <c r="EW19" s="255"/>
      <c r="EX19" s="256"/>
      <c r="EY19" s="257">
        <f>IF(F19="","",IF(K19&gt;9,HU19,HS19))</f>
        <v>3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11</v>
      </c>
      <c r="FF19" s="255"/>
      <c r="FG19" s="255"/>
      <c r="FH19" s="256"/>
      <c r="FI19" s="257">
        <f>IF(G19="","",IF(L19&gt;9,HY19,HW19))</f>
        <v>5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>
        <f>Y19</f>
        <v>0</v>
      </c>
      <c r="GN19" s="247"/>
      <c r="GO19" s="247"/>
      <c r="GP19" s="247"/>
      <c r="GQ19" s="247"/>
      <c r="GR19" s="247"/>
      <c r="GS19" s="304"/>
      <c r="GT19" s="246">
        <f>Z19</f>
        <v>3</v>
      </c>
      <c r="GU19" s="247"/>
      <c r="GV19" s="247"/>
      <c r="GW19" s="247"/>
      <c r="GX19" s="247"/>
      <c r="GY19" s="247"/>
      <c r="GZ19" s="248"/>
      <c r="HA19" s="249">
        <f>AA19</f>
        <v>0</v>
      </c>
      <c r="HB19" s="250"/>
      <c r="HC19" s="250"/>
      <c r="HD19" s="250"/>
      <c r="HE19" s="250"/>
      <c r="HF19" s="250"/>
      <c r="HG19" s="251"/>
      <c r="HH19" s="252">
        <f>AB19</f>
        <v>1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7</v>
      </c>
      <c r="HP19" s="50" t="str">
        <f>IF(E19="","",IF(J19=1000,0,IF(J19=-1000,11,IF(J19&lt;-9,-(J19-2),IF(J19&gt;0,(GU19),"0")))))</f>
        <v>0</v>
      </c>
      <c r="HQ19" s="51">
        <f>IF(E19="","",IF(J19=1000,11,IF(J19=-1000,0,IF(J19&lt;9,11,IF(J19&gt;9,(J19+2),"0")))))</f>
        <v>11</v>
      </c>
      <c r="HR19" s="52">
        <f>IF(E19="","",IF(J19=1000,0,IF(J19=-1000,11,IF(J19&lt;0,11,IF(J19&gt;0,(J19),"0")))))</f>
        <v>11</v>
      </c>
      <c r="HS19" s="53">
        <f>IF(F19="","",IF(K19=1000,11,IF(K19=-1000,0,IF(K19&gt;0,11,IF(K19&lt;0,(-K19),"0")))))</f>
        <v>3</v>
      </c>
      <c r="HT19" s="53" t="str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11</v>
      </c>
      <c r="HW19" s="49">
        <f>IF(G19="","",IF(L19=1000,11,IF(L19=-1000,0,IF(L19&gt;0,11,IF(L19&lt;0,(-L19),"0")))))</f>
        <v>5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>
        <f>IF(E19="","",EO19*1)</f>
        <v>7</v>
      </c>
      <c r="IJ19" s="56">
        <f>IF(F19="","",EY19*1)</f>
        <v>3</v>
      </c>
      <c r="IK19" s="56">
        <f>IF(G19="","",FI19*1)</f>
        <v>5</v>
      </c>
      <c r="IL19" s="56" t="str">
        <f>IF(H19="","",FS19*1)</f>
        <v/>
      </c>
      <c r="IM19" s="56" t="str">
        <f>IF(I19="","",GC19*1)</f>
        <v/>
      </c>
      <c r="IN19" s="57">
        <f>IF(E19="","",EU19*1)</f>
        <v>11</v>
      </c>
      <c r="IO19" s="57">
        <f>IF(F19="","",FE19*1)</f>
        <v>11</v>
      </c>
      <c r="IP19" s="57">
        <f>IF(G19="","",FO19*1)</f>
        <v>11</v>
      </c>
      <c r="IQ19" s="57" t="str">
        <f>IF(H19="","",FY19*1)</f>
        <v/>
      </c>
      <c r="IR19" s="57" t="str">
        <f>IF(I19="","",GI19*1)</f>
        <v/>
      </c>
      <c r="IS19" s="58">
        <f>IF(E19="","",SUM(II19:IM19))</f>
        <v>15</v>
      </c>
      <c r="IT19" s="58">
        <f>IF(E19="","",SUM(IN19:IR19))</f>
        <v>33</v>
      </c>
    </row>
    <row r="20" spans="1:254" ht="30" customHeight="1" thickBot="1" x14ac:dyDescent="0.4">
      <c r="A20" s="39" t="s">
        <v>18</v>
      </c>
      <c r="B20" s="59">
        <f>IF(B17=0,"",B17)</f>
        <v>53</v>
      </c>
      <c r="C20" s="41" t="s">
        <v>35</v>
      </c>
      <c r="D20" s="59">
        <f>IF(D16=0,"",D16)</f>
        <v>32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Рехтин Андрей Павлович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Каулик Алексей Сергеевич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3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«Интер»  г.Евпатория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4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1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104</v>
      </c>
      <c r="IT21" s="65">
        <f>IF(E16="","",SUM(IT16:IT20))</f>
        <v>124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27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«Рассвет» г.Симферополь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«Интер»  г.Евпатория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52</v>
      </c>
      <c r="F57" s="481"/>
      <c r="G57" s="9"/>
      <c r="H57" s="480">
        <f>C2</f>
        <v>31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53</v>
      </c>
      <c r="F58" s="481"/>
      <c r="G58" s="9"/>
      <c r="H58" s="480">
        <f>C4</f>
        <v>33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56</v>
      </c>
      <c r="F59" s="481"/>
      <c r="G59" s="9"/>
      <c r="H59" s="480">
        <f>C7</f>
        <v>36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57</v>
      </c>
      <c r="F60" s="481"/>
      <c r="G60" s="9"/>
      <c r="H60" s="480">
        <f>C8</f>
        <v>37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58</v>
      </c>
      <c r="F61" s="481"/>
      <c r="G61" s="9"/>
      <c r="H61" s="480">
        <f>C9</f>
        <v>38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59</v>
      </c>
      <c r="F62" s="481"/>
      <c r="G62" s="9"/>
      <c r="H62" s="480">
        <f>1+H61</f>
        <v>39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60</v>
      </c>
      <c r="F63" s="481"/>
      <c r="G63" s="9"/>
      <c r="H63" s="480">
        <f>1+H62</f>
        <v>40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61</v>
      </c>
      <c r="F64" s="481"/>
      <c r="G64" s="9"/>
      <c r="H64" s="480">
        <f>1+H63</f>
        <v>41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62</v>
      </c>
      <c r="F65" s="481"/>
      <c r="G65" s="9"/>
      <c r="H65" s="480">
        <f>1+H64</f>
        <v>42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63</v>
      </c>
      <c r="F66" s="481"/>
      <c r="G66" s="9"/>
      <c r="H66" s="480">
        <f>1+H65</f>
        <v>43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1:IU102"/>
  <sheetViews>
    <sheetView topLeftCell="E1" zoomScale="48" zoomScaleNormal="48" zoomScaleSheetLayoutView="40" workbookViewId="0">
      <selection activeCell="H18" sqref="H18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"Спортшкола - Юноши" г.Ялта</v>
      </c>
      <c r="B1" s="576"/>
      <c r="C1" s="577" t="str">
        <f>IF(D11="","",VLOOKUP(D11,Список!B:O,12,FALSE))</f>
        <v>«Аэропорт - СШ №3» г.Симферополь</v>
      </c>
      <c r="D1" s="578"/>
      <c r="E1" s="579">
        <v>28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91</v>
      </c>
      <c r="B2" s="13" t="str">
        <f>IF(A2="","",VLOOKUP(A2,Список!E:O,2,FALSE))</f>
        <v xml:space="preserve"> Бородин Илья Николаевич</v>
      </c>
      <c r="C2" s="14">
        <f>IF($B$11="","",$D$11*10+1)</f>
        <v>21</v>
      </c>
      <c r="D2" s="15" t="str">
        <f>IF(C2="","",VLOOKUP(C2,Список!E:O,2,FALSE))</f>
        <v xml:space="preserve"> Павлина Сергей Станиславович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92</v>
      </c>
      <c r="B3" s="13" t="str">
        <f>IF(A3="","",VLOOKUP(A3,Список!E:O,2,FALSE))</f>
        <v xml:space="preserve"> Чекалов Никита Геннадьевич</v>
      </c>
      <c r="C3" s="14">
        <f>IF($B$11="","",$D$11*10+2)</f>
        <v>22</v>
      </c>
      <c r="D3" s="15" t="str">
        <f>IF(C3="","",VLOOKUP(C3,Список!E:O,2,FALSE))</f>
        <v xml:space="preserve"> Банников Юрий Владимирович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93</v>
      </c>
      <c r="B4" s="13" t="str">
        <f>IF(A4="","",VLOOKUP(A4,Список!E:O,2,FALSE))</f>
        <v xml:space="preserve"> Груздов Дарион Сергеевич</v>
      </c>
      <c r="C4" s="14">
        <f>IF($B$11="","",$D$11*10+3)</f>
        <v>23</v>
      </c>
      <c r="D4" s="15" t="str">
        <f>IF(C4="","",VLOOKUP(C4,Список!E:O,2,FALSE))</f>
        <v xml:space="preserve"> Лодыгин Владимир Вадимович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94</v>
      </c>
      <c r="B5" s="13" t="str">
        <f>IF(A5="","",VLOOKUP(A5,Список!E:O,2,FALSE))</f>
        <v xml:space="preserve"> Чекалов Дмитрий Геннадьевич</v>
      </c>
      <c r="C5" s="14">
        <f>IF($B$11="","",$D$11*10+4)</f>
        <v>24</v>
      </c>
      <c r="D5" s="15" t="str">
        <f>IF(C5="","",VLOOKUP(C5,Список!E:O,2,FALSE))</f>
        <v xml:space="preserve"> Соловей Юрий Анатольевич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95</v>
      </c>
      <c r="B6" s="13" t="str">
        <f>IF(A6="","",VLOOKUP(A6,Список!E:O,2,FALSE))</f>
        <v xml:space="preserve"> Михайленко Кирилл Вадимович</v>
      </c>
      <c r="C6" s="14">
        <f>IF($B$11="","",$D$11*10+5)</f>
        <v>25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96</v>
      </c>
      <c r="B7" s="13" t="str">
        <f>IF(A7="","",VLOOKUP(A7,Список!E:O,2,FALSE))</f>
        <v xml:space="preserve"> Груздов Даниэль Сергеевич</v>
      </c>
      <c r="C7" s="14">
        <f>IF($B$11="","",$D$11*10+6)</f>
        <v>26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97</v>
      </c>
      <c r="B8" s="13" t="str">
        <f>IF(A8="","",VLOOKUP(A8,Список!E:O,2,FALSE))</f>
        <v>-</v>
      </c>
      <c r="C8" s="14">
        <f>IF($B$11="","",$D$11*10+7)</f>
        <v>27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"Спортшкола - Юноши" г.Ялта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«Аэропорт - СШ №3» г.Симферополь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98</v>
      </c>
      <c r="B9" s="13" t="str">
        <f>IF(A9="","",VLOOKUP(A9,Список!E:O,2,FALSE))</f>
        <v>-</v>
      </c>
      <c r="C9" s="14">
        <f>IF($B$11="","",$D$11*10+8)</f>
        <v>28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9</v>
      </c>
      <c r="C11" s="27" t="s">
        <v>18</v>
      </c>
      <c r="D11" s="29">
        <f>IF(B11="","",IF(B11=A13,C13,IF(B11=C13,A13,)))</f>
        <v>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"Спортшкола - Юноши" г.Ялта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«Аэропорт - СШ №3»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90</v>
      </c>
      <c r="D12" s="25">
        <f>IF(B11="","",D11*10)</f>
        <v>20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9</v>
      </c>
      <c r="B13" s="566"/>
      <c r="C13" s="565">
        <f>IF($E$1="","",VLOOKUP($E$1,'Общее расписание'!$B:$V,3,FALSE))</f>
        <v>2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Прима В.А.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Банников Ю.В.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6, встреча 28, 9 - 2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28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92</v>
      </c>
      <c r="C16" s="41" t="s">
        <v>35</v>
      </c>
      <c r="D16" s="40">
        <v>21</v>
      </c>
      <c r="E16" s="42" t="s">
        <v>162</v>
      </c>
      <c r="F16" s="42" t="s">
        <v>171</v>
      </c>
      <c r="G16" s="42" t="s">
        <v>174</v>
      </c>
      <c r="H16" s="42"/>
      <c r="I16" s="42"/>
      <c r="J16" s="43">
        <f>IF(E16="","",IF(E16="0",1000,IF(E16="-0",-1000,E16*1)))</f>
        <v>-1</v>
      </c>
      <c r="K16" s="43">
        <f>IF(F16="","",IF(F16="0",1000,IF(F16="-0",-1000,F16*1)))</f>
        <v>-6</v>
      </c>
      <c r="L16" s="43">
        <f>IF(G16="","",IF(G16="0",1000,IF(G16="-0",-1000,G16*1)))</f>
        <v>-3</v>
      </c>
      <c r="M16" s="43" t="str">
        <f>IF(H16="","",IF(H16="0",1000,IF(H16="-0",-1000,H16*1)))</f>
        <v/>
      </c>
      <c r="N16" s="43" t="str">
        <f>IF(I16="","",IF(I16="0",1000,IF(I16="-0",-1000,I16*1)))</f>
        <v/>
      </c>
      <c r="O16" s="44">
        <f>IF(J16="","",IF(J16&gt;0,1,0))</f>
        <v>0</v>
      </c>
      <c r="P16" s="44">
        <f t="shared" ref="P16:S20" si="0">IF(K16="","",IF(K16&gt;0,1,0))</f>
        <v>0</v>
      </c>
      <c r="Q16" s="44">
        <f t="shared" si="0"/>
        <v>0</v>
      </c>
      <c r="R16" s="44" t="str">
        <f t="shared" si="0"/>
        <v/>
      </c>
      <c r="S16" s="44" t="str">
        <f t="shared" si="0"/>
        <v/>
      </c>
      <c r="T16" s="45">
        <f t="shared" ref="T16:X20" si="1">IF(J16="","",IF(J16&lt;0,1,0))</f>
        <v>1</v>
      </c>
      <c r="U16" s="45">
        <f t="shared" si="1"/>
        <v>1</v>
      </c>
      <c r="V16" s="45">
        <f t="shared" si="1"/>
        <v>1</v>
      </c>
      <c r="W16" s="45" t="str">
        <f t="shared" si="1"/>
        <v/>
      </c>
      <c r="X16" s="45" t="str">
        <f t="shared" si="1"/>
        <v/>
      </c>
      <c r="Y16" s="46">
        <f>IF(E16="","",SUM(O16:S16))</f>
        <v>0</v>
      </c>
      <c r="Z16" s="46">
        <f>IF(E16="","",SUM(T16:X16))</f>
        <v>3</v>
      </c>
      <c r="AA16" s="47">
        <f>IF(E16="","",IF(Y16&gt;Z16,1,0))</f>
        <v>0</v>
      </c>
      <c r="AB16" s="48">
        <f>IF(E16="","",IF(Y16&lt;Z16,1,0))</f>
        <v>1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Чекалов Никита Геннадьевич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Павлина Сергей Станиславович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11</v>
      </c>
      <c r="EV16" s="320"/>
      <c r="EW16" s="320"/>
      <c r="EX16" s="321"/>
      <c r="EY16" s="322">
        <f>IF(F16="","",IF(K16&gt;9,HU16,HS16))</f>
        <v>6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3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11</v>
      </c>
      <c r="FP16" s="320"/>
      <c r="FQ16" s="320"/>
      <c r="FR16" s="321"/>
      <c r="FS16" s="322" t="str">
        <f>IF(H16="","",IF(M16&gt;9,IC16,IA16))</f>
        <v/>
      </c>
      <c r="FT16" s="320"/>
      <c r="FU16" s="320"/>
      <c r="FV16" s="320"/>
      <c r="FW16" s="323" t="str">
        <f>IF(FS16="","","-")</f>
        <v/>
      </c>
      <c r="FX16" s="323"/>
      <c r="FY16" s="320" t="str">
        <f>IF(H16="","",IF(M16&lt;-9,IB16,ID16))</f>
        <v/>
      </c>
      <c r="FZ16" s="320"/>
      <c r="GA16" s="320"/>
      <c r="GB16" s="321"/>
      <c r="GC16" s="257" t="str">
        <f>IF(I16="","",IF(N16&gt;9,IG16,IE16))</f>
        <v/>
      </c>
      <c r="GD16" s="255"/>
      <c r="GE16" s="255"/>
      <c r="GF16" s="255"/>
      <c r="GG16" s="254" t="str">
        <f>IF(GC16="","","-")</f>
        <v/>
      </c>
      <c r="GH16" s="254"/>
      <c r="GI16" s="255" t="str">
        <f>IF(I16="","",IF(N16&lt;-9,IF16,IH16))</f>
        <v/>
      </c>
      <c r="GJ16" s="255"/>
      <c r="GK16" s="255"/>
      <c r="GL16" s="302"/>
      <c r="GM16" s="309">
        <f>Y16</f>
        <v>0</v>
      </c>
      <c r="GN16" s="310"/>
      <c r="GO16" s="310"/>
      <c r="GP16" s="310"/>
      <c r="GQ16" s="310"/>
      <c r="GR16" s="310"/>
      <c r="GS16" s="311"/>
      <c r="GT16" s="312">
        <f>Z16</f>
        <v>3</v>
      </c>
      <c r="GU16" s="310"/>
      <c r="GV16" s="310"/>
      <c r="GW16" s="310"/>
      <c r="GX16" s="310"/>
      <c r="GY16" s="310"/>
      <c r="GZ16" s="313"/>
      <c r="HA16" s="315">
        <f>AA16</f>
        <v>0</v>
      </c>
      <c r="HB16" s="316"/>
      <c r="HC16" s="316"/>
      <c r="HD16" s="316"/>
      <c r="HE16" s="316"/>
      <c r="HF16" s="316"/>
      <c r="HG16" s="317"/>
      <c r="HH16" s="318">
        <f>AB16</f>
        <v>1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</v>
      </c>
      <c r="HP16" s="50" t="str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11</v>
      </c>
      <c r="HS16" s="53">
        <f>IF(F16="","",IF(K16=1000,11,IF(K16=-1000,0,IF(K16&gt;0,11,IF(K16&lt;0,(-K16),"0")))))</f>
        <v>6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3</v>
      </c>
      <c r="HX16" s="50" t="str">
        <f>IF(G16="","",IF(L16=1000,0,IF(L16=-1000,11,IF(L16&lt;-9,-(L16-2),IF(L16&gt;0,(GW16),"0")))))</f>
        <v>0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 t="str">
        <f>IF(H16="","",IF(M16=1000,11,IF(M16=-1000,0,IF(M16&gt;0,11,IF(M16&lt;0,(-M16),"0")))))</f>
        <v/>
      </c>
      <c r="IB16" s="53" t="str">
        <f>IF(H16="","",IF(G16="","",IF(M16=1000,0,IF(M16=-1000,11,IF(M16&lt;-9,-(M16-2),IF(M16&gt;0,(GX16),"0"))))))</f>
        <v/>
      </c>
      <c r="IC16" s="54" t="str">
        <f>IF(H16="","",IF(M16=1000,11,IF(M16=-1000,0,IF(M16&lt;9,11,IF(M16&gt;9,(M16+2),"0")))))</f>
        <v/>
      </c>
      <c r="ID16" s="54" t="str">
        <f>IF(H16="","",IF(M16=1000,0,IF(M16=-1000,11,IF(M16&lt;0,11,IF(M16&gt;0,(M16),"0")))))</f>
        <v/>
      </c>
      <c r="IE16" s="49" t="str">
        <f>IF(I16="","",IF(N16=1000,11,IF(N16=-1000,0,IF(N16&gt;0,11,IF(N16&lt;0,(-N16),"0")))))</f>
        <v/>
      </c>
      <c r="IF16" s="50" t="str">
        <f>IF(I16="","",IF(N16=1000,0,IF(N16=-1000,11,IF(N16&lt;-9,-(N16-2),IF(N16&gt;0,(GY16),"0")))))</f>
        <v/>
      </c>
      <c r="IG16" s="51" t="str">
        <f>IF(I16="","",IF(N16=1000,11,IF(N16=-1000,0,IF(N16&lt;9,11,IF(N16&gt;9,(N16+2),"0")))))</f>
        <v/>
      </c>
      <c r="IH16" s="55" t="str">
        <f>IF(I16="","",IF(N16=1000,0,IF(N16=-1000,11,IF(N16&lt;0,11,IF(N16&gt;0,(N16),"0")))))</f>
        <v/>
      </c>
      <c r="II16" s="56">
        <f>IF(E16="","",EO16*1)</f>
        <v>1</v>
      </c>
      <c r="IJ16" s="56">
        <f>IF(F16="","",EY16*1)</f>
        <v>6</v>
      </c>
      <c r="IK16" s="56">
        <f>IF(G16="","",FI16*1)</f>
        <v>3</v>
      </c>
      <c r="IL16" s="56" t="str">
        <f>IF(H16="","",FS16*1)</f>
        <v/>
      </c>
      <c r="IM16" s="56" t="str">
        <f>IF(I16="","",GC16*1)</f>
        <v/>
      </c>
      <c r="IN16" s="57">
        <f>IF(E16="","",EU16*1)</f>
        <v>11</v>
      </c>
      <c r="IO16" s="57">
        <f>IF(F16="","",FE16*1)</f>
        <v>11</v>
      </c>
      <c r="IP16" s="57">
        <f>IF(G16="","",FO16*1)</f>
        <v>11</v>
      </c>
      <c r="IQ16" s="57" t="str">
        <f>IF(H16="","",FY16*1)</f>
        <v/>
      </c>
      <c r="IR16" s="57" t="str">
        <f>IF(I16="","",GI16*1)</f>
        <v/>
      </c>
      <c r="IS16" s="58">
        <f>IF(E16="","",SUM(II16:IM16))</f>
        <v>10</v>
      </c>
      <c r="IT16" s="58">
        <f>IF(E16="","",SUM(IN16:IR16))</f>
        <v>33</v>
      </c>
    </row>
    <row r="17" spans="1:254" ht="30" customHeight="1" x14ac:dyDescent="0.35">
      <c r="A17" s="39" t="s">
        <v>18</v>
      </c>
      <c r="B17" s="40">
        <v>94</v>
      </c>
      <c r="C17" s="41" t="s">
        <v>34</v>
      </c>
      <c r="D17" s="40">
        <v>23</v>
      </c>
      <c r="E17" s="42" t="s">
        <v>169</v>
      </c>
      <c r="F17" s="42" t="s">
        <v>175</v>
      </c>
      <c r="G17" s="42" t="s">
        <v>172</v>
      </c>
      <c r="H17" s="42"/>
      <c r="I17" s="42"/>
      <c r="J17" s="43">
        <f t="shared" ref="J17:N20" si="2">IF(E17="","",IF(E17="0",1000,IF(E17="-0",-1000,E17*1)))</f>
        <v>-8</v>
      </c>
      <c r="K17" s="43">
        <f t="shared" si="2"/>
        <v>-10</v>
      </c>
      <c r="L17" s="43">
        <f t="shared" si="2"/>
        <v>-5</v>
      </c>
      <c r="M17" s="43" t="str">
        <f t="shared" si="2"/>
        <v/>
      </c>
      <c r="N17" s="43" t="str">
        <f t="shared" si="2"/>
        <v/>
      </c>
      <c r="O17" s="44">
        <f>IF(J17="","",IF(J17&gt;0,1,0))</f>
        <v>0</v>
      </c>
      <c r="P17" s="44">
        <f t="shared" si="0"/>
        <v>0</v>
      </c>
      <c r="Q17" s="44">
        <f t="shared" si="0"/>
        <v>0</v>
      </c>
      <c r="R17" s="44" t="str">
        <f t="shared" si="0"/>
        <v/>
      </c>
      <c r="S17" s="44" t="str">
        <f t="shared" si="0"/>
        <v/>
      </c>
      <c r="T17" s="45">
        <f t="shared" si="1"/>
        <v>1</v>
      </c>
      <c r="U17" s="45">
        <f t="shared" si="1"/>
        <v>1</v>
      </c>
      <c r="V17" s="45">
        <f t="shared" si="1"/>
        <v>1</v>
      </c>
      <c r="W17" s="45" t="str">
        <f t="shared" si="1"/>
        <v/>
      </c>
      <c r="X17" s="45" t="str">
        <f t="shared" si="1"/>
        <v/>
      </c>
      <c r="Y17" s="46">
        <f>IF(E17="","",SUM(O17:S17))</f>
        <v>0</v>
      </c>
      <c r="Z17" s="46">
        <f>IF(E17="","",SUM(T17:X17))</f>
        <v>3</v>
      </c>
      <c r="AA17" s="47">
        <f>IF(E17="","",IF(Y17&gt;Z17,1,0))</f>
        <v>0</v>
      </c>
      <c r="AB17" s="48">
        <f>IF(E17="","",IF(Y17&lt;Z17,1,0))</f>
        <v>1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Чекалов Дмитрий Геннадьевич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Лодыгин Владимир Вадимович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8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11</v>
      </c>
      <c r="EV17" s="255"/>
      <c r="EW17" s="255"/>
      <c r="EX17" s="256"/>
      <c r="EY17" s="257">
        <f>IF(F17="","",IF(K17&gt;9,HU17,HS17))</f>
        <v>10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12</v>
      </c>
      <c r="FF17" s="255"/>
      <c r="FG17" s="255"/>
      <c r="FH17" s="256"/>
      <c r="FI17" s="257">
        <f>IF(G17="","",IF(L17&gt;9,HY17,HW17))</f>
        <v>5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11</v>
      </c>
      <c r="FP17" s="255"/>
      <c r="FQ17" s="255"/>
      <c r="FR17" s="256"/>
      <c r="FS17" s="257" t="str">
        <f>IF(H17="","",IF(M17&gt;9,IC17,IA17))</f>
        <v/>
      </c>
      <c r="FT17" s="255"/>
      <c r="FU17" s="255"/>
      <c r="FV17" s="255"/>
      <c r="FW17" s="254" t="str">
        <f>IF(FS17="","","-")</f>
        <v/>
      </c>
      <c r="FX17" s="254"/>
      <c r="FY17" s="255" t="str">
        <f>IF(H17="","",IF(M17&lt;-9,IB17,ID17))</f>
        <v/>
      </c>
      <c r="FZ17" s="255"/>
      <c r="GA17" s="255"/>
      <c r="GB17" s="256"/>
      <c r="GC17" s="257" t="str">
        <f>IF(I17="","",IF(N17&gt;9,IG17,IE17))</f>
        <v/>
      </c>
      <c r="GD17" s="255"/>
      <c r="GE17" s="255"/>
      <c r="GF17" s="255"/>
      <c r="GG17" s="254" t="str">
        <f>IF(GC17="","","-")</f>
        <v/>
      </c>
      <c r="GH17" s="254"/>
      <c r="GI17" s="255" t="str">
        <f>IF(I17="","",IF(N17&lt;-9,IF17,IH17))</f>
        <v/>
      </c>
      <c r="GJ17" s="255"/>
      <c r="GK17" s="255"/>
      <c r="GL17" s="302"/>
      <c r="GM17" s="303">
        <f>Y17</f>
        <v>0</v>
      </c>
      <c r="GN17" s="247"/>
      <c r="GO17" s="247"/>
      <c r="GP17" s="247"/>
      <c r="GQ17" s="247"/>
      <c r="GR17" s="247"/>
      <c r="GS17" s="304"/>
      <c r="GT17" s="246">
        <f>Z17</f>
        <v>3</v>
      </c>
      <c r="GU17" s="247"/>
      <c r="GV17" s="247"/>
      <c r="GW17" s="247"/>
      <c r="GX17" s="247"/>
      <c r="GY17" s="247"/>
      <c r="GZ17" s="248"/>
      <c r="HA17" s="249">
        <f>AA17</f>
        <v>0</v>
      </c>
      <c r="HB17" s="250"/>
      <c r="HC17" s="250"/>
      <c r="HD17" s="250"/>
      <c r="HE17" s="250"/>
      <c r="HF17" s="250"/>
      <c r="HG17" s="251"/>
      <c r="HH17" s="252">
        <f>AB17</f>
        <v>1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8</v>
      </c>
      <c r="HP17" s="50" t="str">
        <f>IF(E17="","",IF(J17=1000,0,IF(J17=-1000,11,IF(J17&lt;-9,-(J17-2),IF(J17&gt;0,(GU17),"0")))))</f>
        <v>0</v>
      </c>
      <c r="HQ17" s="51">
        <f>IF(E17="","",IF(J17=1000,11,IF(J17=-1000,0,IF(J17&lt;9,11,IF(J17&gt;9,(J17+2),"0")))))</f>
        <v>11</v>
      </c>
      <c r="HR17" s="52">
        <f>IF(E17="","",IF(J17=1000,0,IF(J17=-1000,11,IF(J17&lt;0,11,IF(J17&gt;0,(J17),"0")))))</f>
        <v>11</v>
      </c>
      <c r="HS17" s="53">
        <f>IF(F17="","",IF(K17=1000,11,IF(K17=-1000,0,IF(K17&gt;0,11,IF(K17&lt;0,(-K17),"0")))))</f>
        <v>10</v>
      </c>
      <c r="HT17" s="53">
        <f>IF(F17="","",IF(K17=1000,0,IF(K17=-1000,11,IF(K17&lt;-9,-(K17-2),IF(K17&gt;0,(GV17),"0")))))</f>
        <v>12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5</v>
      </c>
      <c r="HX17" s="50" t="str">
        <f>IF(G17="","",IF(L17=1000,0,IF(L17=-1000,11,IF(L17&lt;-9,-(L17-2),IF(L17&gt;0,(GW17),"0")))))</f>
        <v>0</v>
      </c>
      <c r="HY17" s="51">
        <f>IF(G17="","",IF(L17=1000,11,IF(L17=-1000,0,IF(L17&lt;9,11,IF(L17&gt;9,(L17+2),"0")))))</f>
        <v>11</v>
      </c>
      <c r="HZ17" s="52">
        <f>IF(G17="","",IF(L17=1000,0,IF(L17=-1000,11,IF(L17&lt;0,11,IF(L17&gt;0,(L17),"0")))))</f>
        <v>11</v>
      </c>
      <c r="IA17" s="53" t="str">
        <f>IF(H17="","",IF(M17=1000,11,IF(M17=-1000,0,IF(M17&gt;0,11,IF(M17&lt;0,(-M17),"0")))))</f>
        <v/>
      </c>
      <c r="IB17" s="53" t="str">
        <f>IF(H17="","",IF(G17="","",IF(M17=1000,0,IF(M17=-1000,11,IF(M17&lt;-9,-(M17-2),IF(M17&gt;0,(GX17),"0"))))))</f>
        <v/>
      </c>
      <c r="IC17" s="54" t="str">
        <f>IF(H17="","",IF(M17=1000,11,IF(M17=-1000,0,IF(M17&lt;9,11,IF(M17&gt;9,(M17+2),"0")))))</f>
        <v/>
      </c>
      <c r="ID17" s="54" t="str">
        <f>IF(H17="","",IF(M17=1000,0,IF(M17=-1000,11,IF(M17&lt;0,11,IF(M17&gt;0,(M17),"0")))))</f>
        <v/>
      </c>
      <c r="IE17" s="49" t="str">
        <f>IF(I17="","",IF(N17=1000,11,IF(N17=-1000,0,IF(N17&gt;0,11,IF(N17&lt;0,(-N17),"0")))))</f>
        <v/>
      </c>
      <c r="IF17" s="50" t="str">
        <f>IF(I17="","",IF(N17=1000,0,IF(N17=-1000,11,IF(N17&lt;-9,-(N17-2),IF(N17&gt;0,(GY17),"0")))))</f>
        <v/>
      </c>
      <c r="IG17" s="51" t="str">
        <f>IF(I17="","",IF(N17=1000,11,IF(N17=-1000,0,IF(N17&lt;9,11,IF(N17&gt;9,(N17+2),"0")))))</f>
        <v/>
      </c>
      <c r="IH17" s="55" t="str">
        <f>IF(I17="","",IF(N17=1000,0,IF(N17=-1000,11,IF(N17&lt;0,11,IF(N17&gt;0,(N17),"0")))))</f>
        <v/>
      </c>
      <c r="II17" s="56">
        <f>IF(E17="","",EO17*1)</f>
        <v>8</v>
      </c>
      <c r="IJ17" s="56">
        <f>IF(F17="","",EY17*1)</f>
        <v>10</v>
      </c>
      <c r="IK17" s="56">
        <f>IF(G17="","",FI17*1)</f>
        <v>5</v>
      </c>
      <c r="IL17" s="56" t="str">
        <f>IF(H17="","",FS17*1)</f>
        <v/>
      </c>
      <c r="IM17" s="56" t="str">
        <f>IF(I17="","",GC17*1)</f>
        <v/>
      </c>
      <c r="IN17" s="57">
        <f>IF(E17="","",EU17*1)</f>
        <v>11</v>
      </c>
      <c r="IO17" s="57">
        <f>IF(F17="","",FE17*1)</f>
        <v>12</v>
      </c>
      <c r="IP17" s="57">
        <f>IF(G17="","",FO17*1)</f>
        <v>11</v>
      </c>
      <c r="IQ17" s="57" t="str">
        <f>IF(H17="","",FY17*1)</f>
        <v/>
      </c>
      <c r="IR17" s="57" t="str">
        <f>IF(I17="","",GI17*1)</f>
        <v/>
      </c>
      <c r="IS17" s="58">
        <f>IF(E17="","",SUM(II17:IM17))</f>
        <v>23</v>
      </c>
      <c r="IT17" s="58">
        <f>IF(E17="","",SUM(IN17:IR17))</f>
        <v>34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22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Банников Юрий Владимирович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92</v>
      </c>
      <c r="C19" s="41" t="s">
        <v>34</v>
      </c>
      <c r="D19" s="59">
        <f>IF(D17=0,"",D17)</f>
        <v>23</v>
      </c>
      <c r="E19" s="42"/>
      <c r="F19" s="42"/>
      <c r="G19" s="42"/>
      <c r="H19" s="42"/>
      <c r="I19" s="42"/>
      <c r="J19" s="43" t="str">
        <f t="shared" si="2"/>
        <v/>
      </c>
      <c r="K19" s="43" t="str">
        <f t="shared" si="2"/>
        <v/>
      </c>
      <c r="L19" s="43" t="str">
        <f t="shared" si="2"/>
        <v/>
      </c>
      <c r="M19" s="43" t="str">
        <f t="shared" si="2"/>
        <v/>
      </c>
      <c r="N19" s="43" t="str">
        <f t="shared" si="2"/>
        <v/>
      </c>
      <c r="O19" s="44" t="str">
        <f>IF(J19="","",IF(J19&gt;0,1,0))</f>
        <v/>
      </c>
      <c r="P19" s="44" t="str">
        <f t="shared" si="0"/>
        <v/>
      </c>
      <c r="Q19" s="44" t="str">
        <f t="shared" si="0"/>
        <v/>
      </c>
      <c r="R19" s="44" t="str">
        <f t="shared" si="0"/>
        <v/>
      </c>
      <c r="S19" s="44" t="str">
        <f t="shared" si="0"/>
        <v/>
      </c>
      <c r="T19" s="45" t="str">
        <f t="shared" si="1"/>
        <v/>
      </c>
      <c r="U19" s="45" t="str">
        <f t="shared" si="1"/>
        <v/>
      </c>
      <c r="V19" s="45" t="str">
        <f t="shared" si="1"/>
        <v/>
      </c>
      <c r="W19" s="45" t="str">
        <f t="shared" si="1"/>
        <v/>
      </c>
      <c r="X19" s="45" t="str">
        <f t="shared" si="1"/>
        <v/>
      </c>
      <c r="Y19" s="46" t="str">
        <f>IF(E19="","",SUM(O19:S19))</f>
        <v/>
      </c>
      <c r="Z19" s="46" t="str">
        <f>IF(E19="","",SUM(T19:X19))</f>
        <v/>
      </c>
      <c r="AA19" s="47" t="str">
        <f>IF(E19="","",IF(Y19&gt;Z19,1,0))</f>
        <v/>
      </c>
      <c r="AB19" s="48" t="str">
        <f>IF(E19="","",IF(Y19&lt;Z19,1,0))</f>
        <v/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Чекалов Никита Геннадьевич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Лодыгин Владимир Вадимович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 t="str">
        <f>IF(E19="","",IF(J19&gt;9,HQ19,HO19))</f>
        <v/>
      </c>
      <c r="EP19" s="255"/>
      <c r="EQ19" s="255"/>
      <c r="ER19" s="255"/>
      <c r="ES19" s="297" t="str">
        <f>IF(EO19="","","-")</f>
        <v/>
      </c>
      <c r="ET19" s="297"/>
      <c r="EU19" s="255" t="str">
        <f>IF(E19="","",IF(J19&lt;-9,HP19,HR19))</f>
        <v/>
      </c>
      <c r="EV19" s="255"/>
      <c r="EW19" s="255"/>
      <c r="EX19" s="256"/>
      <c r="EY19" s="257" t="str">
        <f>IF(F19="","",IF(K19&gt;9,HU19,HS19))</f>
        <v/>
      </c>
      <c r="EZ19" s="255"/>
      <c r="FA19" s="255"/>
      <c r="FB19" s="255"/>
      <c r="FC19" s="254" t="str">
        <f>IF(EY19="","","-")</f>
        <v/>
      </c>
      <c r="FD19" s="254"/>
      <c r="FE19" s="255" t="str">
        <f>IF(F19="","",IF(K19&lt;-9,HT19,HV19))</f>
        <v/>
      </c>
      <c r="FF19" s="255"/>
      <c r="FG19" s="255"/>
      <c r="FH19" s="256"/>
      <c r="FI19" s="257" t="str">
        <f>IF(G19="","",IF(L19&gt;9,HY19,HW19))</f>
        <v/>
      </c>
      <c r="FJ19" s="255"/>
      <c r="FK19" s="255"/>
      <c r="FL19" s="255"/>
      <c r="FM19" s="254" t="str">
        <f>IF(FI19="","","-")</f>
        <v/>
      </c>
      <c r="FN19" s="254"/>
      <c r="FO19" s="255" t="str">
        <f>IF(G19="","",IF(L19&lt;-9,HX19,HZ19))</f>
        <v/>
      </c>
      <c r="FP19" s="255"/>
      <c r="FQ19" s="255"/>
      <c r="FR19" s="256"/>
      <c r="FS19" s="257" t="str">
        <f>IF(H19="","",IF(M19&gt;9,IC19,IA19))</f>
        <v/>
      </c>
      <c r="FT19" s="255"/>
      <c r="FU19" s="255"/>
      <c r="FV19" s="255"/>
      <c r="FW19" s="254" t="str">
        <f>IF(FS19="","","-")</f>
        <v/>
      </c>
      <c r="FX19" s="254"/>
      <c r="FY19" s="255" t="str">
        <f>IF(H19="","",IF(M19&lt;-9,IB19,ID19))</f>
        <v/>
      </c>
      <c r="FZ19" s="255"/>
      <c r="GA19" s="255"/>
      <c r="GB19" s="256"/>
      <c r="GC19" s="257" t="str">
        <f>IF(I19="","",IF(N19&gt;9,IG19,IE19))</f>
        <v/>
      </c>
      <c r="GD19" s="255"/>
      <c r="GE19" s="255"/>
      <c r="GF19" s="255"/>
      <c r="GG19" s="254" t="str">
        <f>IF(GC19="","","-")</f>
        <v/>
      </c>
      <c r="GH19" s="254"/>
      <c r="GI19" s="255" t="str">
        <f>IF(I19="","",IF(N19&lt;-9,IF19,IH19))</f>
        <v/>
      </c>
      <c r="GJ19" s="255"/>
      <c r="GK19" s="255"/>
      <c r="GL19" s="302"/>
      <c r="GM19" s="303" t="str">
        <f>Y19</f>
        <v/>
      </c>
      <c r="GN19" s="247"/>
      <c r="GO19" s="247"/>
      <c r="GP19" s="247"/>
      <c r="GQ19" s="247"/>
      <c r="GR19" s="247"/>
      <c r="GS19" s="304"/>
      <c r="GT19" s="246" t="str">
        <f>Z19</f>
        <v/>
      </c>
      <c r="GU19" s="247"/>
      <c r="GV19" s="247"/>
      <c r="GW19" s="247"/>
      <c r="GX19" s="247"/>
      <c r="GY19" s="247"/>
      <c r="GZ19" s="248"/>
      <c r="HA19" s="249" t="str">
        <f>AA19</f>
        <v/>
      </c>
      <c r="HB19" s="250"/>
      <c r="HC19" s="250"/>
      <c r="HD19" s="250"/>
      <c r="HE19" s="250"/>
      <c r="HF19" s="250"/>
      <c r="HG19" s="251"/>
      <c r="HH19" s="252" t="str">
        <f>AB19</f>
        <v/>
      </c>
      <c r="HI19" s="250"/>
      <c r="HJ19" s="250"/>
      <c r="HK19" s="250"/>
      <c r="HL19" s="250"/>
      <c r="HM19" s="250"/>
      <c r="HN19" s="253"/>
      <c r="HO19" s="49" t="str">
        <f>IF(E19="","",IF(J19=1000,11,IF(J19=-1000,0,IF(J19&gt;0,11,IF(J19&lt;0,(-J19),"0")))))</f>
        <v/>
      </c>
      <c r="HP19" s="50" t="str">
        <f>IF(E19="","",IF(J19=1000,0,IF(J19=-1000,11,IF(J19&lt;-9,-(J19-2),IF(J19&gt;0,(GU19),"0")))))</f>
        <v/>
      </c>
      <c r="HQ19" s="51" t="str">
        <f>IF(E19="","",IF(J19=1000,11,IF(J19=-1000,0,IF(J19&lt;9,11,IF(J19&gt;9,(J19+2),"0")))))</f>
        <v/>
      </c>
      <c r="HR19" s="52" t="str">
        <f>IF(E19="","",IF(J19=1000,0,IF(J19=-1000,11,IF(J19&lt;0,11,IF(J19&gt;0,(J19),"0")))))</f>
        <v/>
      </c>
      <c r="HS19" s="53" t="str">
        <f>IF(F19="","",IF(K19=1000,11,IF(K19=-1000,0,IF(K19&gt;0,11,IF(K19&lt;0,(-K19),"0")))))</f>
        <v/>
      </c>
      <c r="HT19" s="53" t="str">
        <f>IF(F19="","",IF(K19=1000,0,IF(K19=-1000,11,IF(K19&lt;-9,-(K19-2),IF(K19&gt;0,(GV19),"0")))))</f>
        <v/>
      </c>
      <c r="HU19" s="54" t="str">
        <f>IF(F19="","",IF(K19=1000,11,IF(K19=-1000,0,IF(K19&lt;9,11,IF(K19&gt;9,(K19+2),"0")))))</f>
        <v/>
      </c>
      <c r="HV19" s="54" t="str">
        <f>IF(F19="","",IF(K19=1000,0,IF(K19=-1000,11,IF(K19&lt;0,11,IF(K19&gt;0,(K19),"0")))))</f>
        <v/>
      </c>
      <c r="HW19" s="49" t="str">
        <f>IF(G19="","",IF(L19=1000,11,IF(L19=-1000,0,IF(L19&gt;0,11,IF(L19&lt;0,(-L19),"0")))))</f>
        <v/>
      </c>
      <c r="HX19" s="50" t="str">
        <f>IF(G19="","",IF(L19=1000,0,IF(L19=-1000,11,IF(L19&lt;-9,-(L19-2),IF(L19&gt;0,(GW19),"0")))))</f>
        <v/>
      </c>
      <c r="HY19" s="51" t="str">
        <f>IF(G19="","",IF(L19=1000,11,IF(L19=-1000,0,IF(L19&lt;9,11,IF(L19&gt;9,(L19+2),"0")))))</f>
        <v/>
      </c>
      <c r="HZ19" s="52" t="str">
        <f>IF(G19="","",IF(L19=1000,0,IF(L19=-1000,11,IF(L19&lt;0,11,IF(L19&gt;0,(L19),"0")))))</f>
        <v/>
      </c>
      <c r="IA19" s="53" t="str">
        <f>IF(H19="","",IF(M19=1000,11,IF(M19=-1000,0,IF(M19&gt;0,11,IF(M19&lt;0,(-M19),"0")))))</f>
        <v/>
      </c>
      <c r="IB19" s="53" t="str">
        <f>IF(H19="","",IF(G19="","",IF(M19=1000,0,IF(M19=-1000,11,IF(M19&lt;-9,-(M19-2),IF(M19&gt;0,(GX19),"0"))))))</f>
        <v/>
      </c>
      <c r="IC19" s="54" t="str">
        <f>IF(H19="","",IF(M19=1000,11,IF(M19=-1000,0,IF(M19&lt;9,11,IF(M19&gt;9,(M19+2),"0")))))</f>
        <v/>
      </c>
      <c r="ID19" s="54" t="str">
        <f>IF(H19="","",IF(M19=1000,0,IF(M19=-1000,11,IF(M19&lt;0,11,IF(M19&gt;0,(M19),"0")))))</f>
        <v/>
      </c>
      <c r="IE19" s="49" t="str">
        <f>IF(I19="","",IF(N19=1000,11,IF(N19=-1000,0,IF(N19&gt;0,11,IF(N19&lt;0,(-N19),"0")))))</f>
        <v/>
      </c>
      <c r="IF19" s="50" t="str">
        <f>IF(I19="","",IF(N19=1000,0,IF(N19=-1000,11,IF(N19&lt;-9,-(N19-2),IF(N19&gt;0,(GY19),"0")))))</f>
        <v/>
      </c>
      <c r="IG19" s="51" t="str">
        <f>IF(I19="","",IF(N19=1000,11,IF(N19=-1000,0,IF(N19&lt;9,11,IF(N19&gt;9,(N19+2),"0")))))</f>
        <v/>
      </c>
      <c r="IH19" s="55" t="str">
        <f>IF(I19="","",IF(N19=1000,0,IF(N19=-1000,11,IF(N19&lt;0,11,IF(N19&gt;0,(N19),"0")))))</f>
        <v/>
      </c>
      <c r="II19" s="56" t="str">
        <f>IF(E19="","",EO19*1)</f>
        <v/>
      </c>
      <c r="IJ19" s="56" t="str">
        <f>IF(F19="","",EY19*1)</f>
        <v/>
      </c>
      <c r="IK19" s="56" t="str">
        <f>IF(G19="","",FI19*1)</f>
        <v/>
      </c>
      <c r="IL19" s="56" t="str">
        <f>IF(H19="","",FS19*1)</f>
        <v/>
      </c>
      <c r="IM19" s="56" t="str">
        <f>IF(I19="","",GC19*1)</f>
        <v/>
      </c>
      <c r="IN19" s="57" t="str">
        <f>IF(E19="","",EU19*1)</f>
        <v/>
      </c>
      <c r="IO19" s="57" t="str">
        <f>IF(F19="","",FE19*1)</f>
        <v/>
      </c>
      <c r="IP19" s="57" t="str">
        <f>IF(G19="","",FO19*1)</f>
        <v/>
      </c>
      <c r="IQ19" s="57" t="str">
        <f>IF(H19="","",FY19*1)</f>
        <v/>
      </c>
      <c r="IR19" s="57" t="str">
        <f>IF(I19="","",GI19*1)</f>
        <v/>
      </c>
      <c r="IS19" s="58" t="str">
        <f>IF(E19="","",SUM(II19:IM19))</f>
        <v/>
      </c>
      <c r="IT19" s="58" t="str">
        <f>IF(E19="","",SUM(IN19:IR19))</f>
        <v/>
      </c>
    </row>
    <row r="20" spans="1:254" ht="30" customHeight="1" thickBot="1" x14ac:dyDescent="0.4">
      <c r="A20" s="39" t="s">
        <v>18</v>
      </c>
      <c r="B20" s="59">
        <f>IF(B17=0,"",B17)</f>
        <v>94</v>
      </c>
      <c r="C20" s="41" t="s">
        <v>35</v>
      </c>
      <c r="D20" s="59">
        <f>IF(D16=0,"",D16)</f>
        <v>21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Чекалов Дмитрий Геннадьевич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Павлина Сергей Станиславович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2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«Аэропорт - СШ №3» г.Симферополь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0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0</v>
      </c>
      <c r="HB21" s="228"/>
      <c r="HC21" s="228"/>
      <c r="HD21" s="228"/>
      <c r="HE21" s="228"/>
      <c r="HF21" s="228"/>
      <c r="HG21" s="229"/>
      <c r="HH21" s="230">
        <f>IF(E16="","",SUM(HH16:HN20))</f>
        <v>3</v>
      </c>
      <c r="HI21" s="228"/>
      <c r="HJ21" s="228"/>
      <c r="HK21" s="228"/>
      <c r="HL21" s="228"/>
      <c r="HM21" s="228"/>
      <c r="HN21" s="231"/>
      <c r="IS21" s="64">
        <f>IF(E16="","",SUM(IS16:IS20))</f>
        <v>33</v>
      </c>
      <c r="IT21" s="65">
        <f>IF(E16="","",SUM(IT16:IT20))</f>
        <v>100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28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"Спортшкола - Юноши" г.Ялта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«Аэропорт - СШ №3»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92</v>
      </c>
      <c r="F57" s="481"/>
      <c r="G57" s="9"/>
      <c r="H57" s="480">
        <f>C2</f>
        <v>21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93</v>
      </c>
      <c r="F58" s="481"/>
      <c r="G58" s="9"/>
      <c r="H58" s="480">
        <f>C4</f>
        <v>23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96</v>
      </c>
      <c r="F59" s="481"/>
      <c r="G59" s="9"/>
      <c r="H59" s="480">
        <f>C7</f>
        <v>26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97</v>
      </c>
      <c r="F60" s="481"/>
      <c r="G60" s="9"/>
      <c r="H60" s="480">
        <f>C8</f>
        <v>27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98</v>
      </c>
      <c r="F61" s="481"/>
      <c r="G61" s="9"/>
      <c r="H61" s="480">
        <f>C9</f>
        <v>28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99</v>
      </c>
      <c r="F62" s="481"/>
      <c r="G62" s="9"/>
      <c r="H62" s="480">
        <f>1+H61</f>
        <v>29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100</v>
      </c>
      <c r="F63" s="481"/>
      <c r="G63" s="9"/>
      <c r="H63" s="480">
        <f>1+H62</f>
        <v>30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101</v>
      </c>
      <c r="F64" s="481"/>
      <c r="G64" s="9"/>
      <c r="H64" s="480">
        <f>1+H63</f>
        <v>31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102</v>
      </c>
      <c r="F65" s="481"/>
      <c r="G65" s="9"/>
      <c r="H65" s="480">
        <f>1+H64</f>
        <v>32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103</v>
      </c>
      <c r="F66" s="481"/>
      <c r="G66" s="9"/>
      <c r="H66" s="480">
        <f>1+H65</f>
        <v>33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  <pageSetUpPr fitToPage="1"/>
  </sheetPr>
  <dimension ref="A1:IU102"/>
  <sheetViews>
    <sheetView zoomScale="50" zoomScaleNormal="50" zoomScaleSheetLayoutView="40" workbookViewId="0">
      <selection activeCell="AC16" sqref="AC16:AG16"/>
    </sheetView>
  </sheetViews>
  <sheetFormatPr defaultColWidth="9.140625" defaultRowHeight="12.75" outlineLevelCol="3" x14ac:dyDescent="0.2"/>
  <cols>
    <col min="1" max="1" width="18.42578125" style="25" customWidth="1" outlineLevel="1"/>
    <col min="2" max="2" width="61.7109375" style="25" customWidth="1" outlineLevel="1"/>
    <col min="3" max="3" width="14.42578125" style="25" customWidth="1" outlineLevel="1"/>
    <col min="4" max="4" width="61.7109375" style="25" customWidth="1" outlineLevel="1"/>
    <col min="5" max="9" width="7.5703125" style="25" customWidth="1" outlineLevel="2"/>
    <col min="10" max="28" width="4.7109375" style="25" hidden="1" customWidth="1" outlineLevel="3"/>
    <col min="29" max="29" width="1.28515625" style="9" customWidth="1" collapsed="1"/>
    <col min="30" max="72" width="1.28515625" style="9" customWidth="1"/>
    <col min="73" max="74" width="1.28515625" style="93" customWidth="1"/>
    <col min="75" max="97" width="1.28515625" style="9" customWidth="1"/>
    <col min="98" max="98" width="1.42578125" style="9" customWidth="1"/>
    <col min="99" max="222" width="1.28515625" style="9" customWidth="1"/>
    <col min="223" max="252" width="4.7109375" style="9" hidden="1" customWidth="1" outlineLevel="3"/>
    <col min="253" max="254" width="6.7109375" style="9" hidden="1" customWidth="1" outlineLevel="3"/>
    <col min="255" max="255" width="4.7109375" style="9" customWidth="1" collapsed="1"/>
    <col min="256" max="271" width="4.7109375" style="9" customWidth="1"/>
    <col min="272" max="16384" width="9.140625" style="9"/>
  </cols>
  <sheetData>
    <row r="1" spans="1:254" ht="23.25" customHeight="1" x14ac:dyDescent="0.2">
      <c r="A1" s="576" t="str">
        <f>IF(B11="","",VLOOKUP(B11,Список!B:O,12,FALSE))</f>
        <v>«АРСЕНАЛ-С» г.Севастополь</v>
      </c>
      <c r="B1" s="576"/>
      <c r="C1" s="577" t="str">
        <f>IF(D11="","",VLOOKUP(D11,Список!B:O,12,FALSE))</f>
        <v>«СШ №3(1)» г.Симферополь</v>
      </c>
      <c r="D1" s="578"/>
      <c r="E1" s="579">
        <v>29</v>
      </c>
      <c r="F1" s="580"/>
      <c r="G1" s="580"/>
      <c r="H1" s="580"/>
      <c r="I1" s="580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581" t="s">
        <v>79</v>
      </c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1"/>
      <c r="EQ1" s="581"/>
      <c r="ER1" s="581"/>
      <c r="ES1" s="581"/>
      <c r="ET1" s="581"/>
      <c r="EU1" s="581"/>
      <c r="EV1" s="581"/>
      <c r="EW1" s="581"/>
      <c r="EX1" s="581"/>
      <c r="EY1" s="581"/>
      <c r="EZ1" s="581"/>
      <c r="FA1" s="581"/>
      <c r="FB1" s="581"/>
      <c r="FC1" s="581"/>
      <c r="FD1" s="581"/>
      <c r="FE1" s="581"/>
      <c r="FF1" s="581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1"/>
      <c r="FR1" s="581"/>
      <c r="FS1" s="581"/>
      <c r="FT1" s="581"/>
      <c r="FU1" s="581"/>
      <c r="FV1" s="581"/>
      <c r="FW1" s="581"/>
      <c r="FX1" s="581"/>
      <c r="FY1" s="581"/>
      <c r="FZ1" s="581"/>
      <c r="GA1" s="581"/>
      <c r="GB1" s="581"/>
      <c r="GC1" s="581"/>
      <c r="GD1" s="581"/>
      <c r="GE1" s="581"/>
      <c r="GF1" s="581"/>
      <c r="GG1" s="581"/>
      <c r="GH1" s="581"/>
      <c r="GI1" s="581"/>
      <c r="GJ1" s="581"/>
      <c r="GK1" s="581"/>
      <c r="GL1" s="581"/>
      <c r="GM1" s="581"/>
      <c r="GN1" s="581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1"/>
      <c r="GZ1" s="581"/>
      <c r="HA1" s="581"/>
      <c r="HB1" s="581"/>
      <c r="HC1" s="581"/>
      <c r="HD1" s="581"/>
      <c r="HE1" s="581"/>
      <c r="HF1" s="581"/>
      <c r="HG1" s="581"/>
      <c r="HH1" s="581"/>
      <c r="HI1" s="581"/>
      <c r="HJ1" s="581"/>
      <c r="HK1" s="581"/>
      <c r="HL1" s="581"/>
      <c r="HM1" s="581"/>
      <c r="HN1" s="581"/>
    </row>
    <row r="2" spans="1:254" s="11" customFormat="1" ht="30" customHeight="1" x14ac:dyDescent="0.2">
      <c r="A2" s="12">
        <f>IF($B$11="","",$B$11*10+1)</f>
        <v>61</v>
      </c>
      <c r="B2" s="13" t="str">
        <f>IF(A2="","",VLOOKUP(A2,Список!E:O,2,FALSE))</f>
        <v xml:space="preserve"> Перфильев Алексей Алексеевич</v>
      </c>
      <c r="C2" s="14">
        <f>IF($B$11="","",$D$11*10+1)</f>
        <v>81</v>
      </c>
      <c r="D2" s="15" t="str">
        <f>IF(C2="","",VLOOKUP(C2,Список!E:O,2,FALSE))</f>
        <v xml:space="preserve"> Пыльник Данил Александрович</v>
      </c>
      <c r="E2" s="579"/>
      <c r="F2" s="580"/>
      <c r="G2" s="580"/>
      <c r="H2" s="580"/>
      <c r="I2" s="58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82" t="s">
        <v>9</v>
      </c>
      <c r="AD2" s="582"/>
      <c r="AE2" s="582"/>
      <c r="AF2" s="582"/>
      <c r="AG2" s="582"/>
      <c r="AH2" s="582"/>
      <c r="AI2" s="582"/>
      <c r="AJ2" s="582"/>
      <c r="AK2" s="582"/>
      <c r="AL2" s="582"/>
      <c r="AM2" s="582"/>
      <c r="AN2" s="582"/>
      <c r="AO2" s="582"/>
      <c r="AP2" s="582"/>
      <c r="AQ2" s="582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  <c r="EI2" s="582"/>
      <c r="EJ2" s="582"/>
      <c r="EK2" s="582"/>
      <c r="EL2" s="582"/>
      <c r="EM2" s="582"/>
      <c r="EN2" s="582"/>
      <c r="EO2" s="582"/>
      <c r="EP2" s="582"/>
      <c r="EQ2" s="582"/>
      <c r="ER2" s="582"/>
      <c r="ES2" s="582"/>
      <c r="ET2" s="582"/>
      <c r="EU2" s="582"/>
      <c r="EV2" s="582"/>
      <c r="EW2" s="582"/>
      <c r="EX2" s="582"/>
      <c r="EY2" s="582"/>
      <c r="EZ2" s="582"/>
      <c r="FA2" s="582"/>
      <c r="FB2" s="582"/>
      <c r="FC2" s="582"/>
      <c r="FD2" s="582"/>
      <c r="FE2" s="582"/>
      <c r="FF2" s="582"/>
      <c r="FG2" s="582"/>
      <c r="FH2" s="582"/>
      <c r="FI2" s="582"/>
      <c r="FJ2" s="582"/>
      <c r="FK2" s="582"/>
      <c r="FL2" s="582"/>
      <c r="FM2" s="582"/>
      <c r="FN2" s="582"/>
      <c r="FO2" s="582"/>
      <c r="FP2" s="582"/>
      <c r="FQ2" s="582"/>
      <c r="FR2" s="582"/>
      <c r="FS2" s="582"/>
      <c r="FT2" s="582"/>
      <c r="FU2" s="582"/>
      <c r="FV2" s="582"/>
      <c r="FW2" s="582"/>
      <c r="FX2" s="582"/>
      <c r="FY2" s="582"/>
      <c r="FZ2" s="582"/>
      <c r="GA2" s="582"/>
      <c r="GB2" s="582"/>
      <c r="GC2" s="582"/>
      <c r="GD2" s="582"/>
      <c r="GE2" s="582"/>
      <c r="GF2" s="582"/>
      <c r="GG2" s="582"/>
      <c r="GH2" s="582"/>
      <c r="GI2" s="582"/>
      <c r="GJ2" s="582"/>
      <c r="GK2" s="582"/>
      <c r="GL2" s="582"/>
      <c r="GM2" s="582"/>
      <c r="GN2" s="582"/>
      <c r="GO2" s="582"/>
      <c r="GP2" s="582"/>
      <c r="GQ2" s="582"/>
      <c r="GR2" s="582"/>
      <c r="GS2" s="582"/>
      <c r="GT2" s="582"/>
      <c r="GU2" s="582"/>
      <c r="GV2" s="582"/>
      <c r="GW2" s="582"/>
      <c r="GX2" s="582"/>
      <c r="GY2" s="582"/>
      <c r="GZ2" s="582"/>
      <c r="HA2" s="582"/>
      <c r="HB2" s="582"/>
      <c r="HC2" s="582"/>
      <c r="HD2" s="582"/>
      <c r="HE2" s="582"/>
      <c r="HF2" s="582"/>
      <c r="HG2" s="582"/>
      <c r="HH2" s="582"/>
      <c r="HI2" s="582"/>
      <c r="HJ2" s="582"/>
      <c r="HK2" s="582"/>
      <c r="HL2" s="582"/>
      <c r="HM2" s="582"/>
      <c r="HN2" s="582"/>
    </row>
    <row r="3" spans="1:254" s="11" customFormat="1" ht="30" customHeight="1" x14ac:dyDescent="0.2">
      <c r="A3" s="12">
        <f>IF($B$11="","",$B$11*10+2)</f>
        <v>62</v>
      </c>
      <c r="B3" s="13" t="str">
        <f>IF(A3="","",VLOOKUP(A3,Список!E:O,2,FALSE))</f>
        <v xml:space="preserve"> Чернокнижников Александр Максимович</v>
      </c>
      <c r="C3" s="14">
        <f>IF($B$11="","",$D$11*10+2)</f>
        <v>82</v>
      </c>
      <c r="D3" s="15" t="str">
        <f>IF(C3="","",VLOOKUP(C3,Список!E:O,2,FALSE))</f>
        <v xml:space="preserve"> Орбакас Антон Эдуардесович</v>
      </c>
      <c r="E3" s="579"/>
      <c r="F3" s="580"/>
      <c r="G3" s="580"/>
      <c r="H3" s="580"/>
      <c r="I3" s="58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581" t="str">
        <f>IF($E$1="","",VLOOKUP($E$1,'Общее расписание'!$B:$V,15,FALSE))</f>
        <v>ЧЕМПИОНАТ РЕСПУБЛИКИ КРЫМ сезона 2023 г. 
по настольному теннису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/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/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/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/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  <c r="GA3" s="581"/>
      <c r="GB3" s="581"/>
      <c r="GC3" s="581"/>
      <c r="GD3" s="581"/>
      <c r="GE3" s="581"/>
      <c r="GF3" s="581"/>
      <c r="GG3" s="581"/>
      <c r="GH3" s="581"/>
      <c r="GI3" s="581"/>
      <c r="GJ3" s="581"/>
      <c r="GK3" s="581"/>
      <c r="GL3" s="581"/>
      <c r="GM3" s="581"/>
      <c r="GN3" s="581"/>
      <c r="GO3" s="581"/>
      <c r="GP3" s="581"/>
      <c r="GQ3" s="581"/>
      <c r="GR3" s="581"/>
      <c r="GS3" s="581"/>
      <c r="GT3" s="581"/>
      <c r="GU3" s="581"/>
      <c r="GV3" s="581"/>
      <c r="GW3" s="581"/>
      <c r="GX3" s="581"/>
      <c r="GY3" s="581"/>
      <c r="GZ3" s="581"/>
      <c r="HA3" s="581"/>
      <c r="HB3" s="581"/>
      <c r="HC3" s="581"/>
      <c r="HD3" s="581"/>
      <c r="HE3" s="581"/>
      <c r="HF3" s="581"/>
      <c r="HG3" s="581"/>
      <c r="HH3" s="581"/>
      <c r="HI3" s="581"/>
      <c r="HJ3" s="581"/>
      <c r="HK3" s="581"/>
      <c r="HL3" s="581"/>
      <c r="HM3" s="581"/>
      <c r="HN3" s="581"/>
    </row>
    <row r="4" spans="1:254" s="11" customFormat="1" ht="30" customHeight="1" x14ac:dyDescent="0.2">
      <c r="A4" s="12">
        <f>IF($B$11="","",$B$11*10+3)</f>
        <v>63</v>
      </c>
      <c r="B4" s="13" t="str">
        <f>IF(A4="","",VLOOKUP(A4,Список!E:O,2,FALSE))</f>
        <v xml:space="preserve"> Шило Алексей Вячеславович</v>
      </c>
      <c r="C4" s="14">
        <f>IF($B$11="","",$D$11*10+3)</f>
        <v>83</v>
      </c>
      <c r="D4" s="15" t="str">
        <f>IF(C4="","",VLOOKUP(C4,Список!E:O,2,FALSE))</f>
        <v xml:space="preserve"> Лойко Максим Александрович</v>
      </c>
      <c r="E4" s="579"/>
      <c r="F4" s="580"/>
      <c r="G4" s="580"/>
      <c r="H4" s="580"/>
      <c r="I4" s="58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8" t="str">
        <f>IF($E$1="","",VLOOKUP($E$1,'Общее расписание'!$B:$V,16,FALSE))</f>
        <v>среди команд ВЫСШЕЙ ЛИГИ (3 тур)</v>
      </c>
      <c r="CG4" s="588"/>
      <c r="CH4" s="588"/>
      <c r="CI4" s="588"/>
      <c r="CJ4" s="588"/>
      <c r="CK4" s="588"/>
      <c r="CL4" s="588"/>
      <c r="CM4" s="588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3"/>
      <c r="FM4" s="583"/>
      <c r="FN4" s="583"/>
      <c r="FO4" s="583"/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3"/>
      <c r="GA4" s="583"/>
      <c r="GB4" s="583"/>
      <c r="GC4" s="583"/>
      <c r="GD4" s="583"/>
      <c r="GE4" s="583"/>
      <c r="GF4" s="583"/>
      <c r="GG4" s="583"/>
      <c r="GH4" s="583"/>
      <c r="GI4" s="583"/>
      <c r="GJ4" s="583"/>
      <c r="GK4" s="583"/>
      <c r="GL4" s="583"/>
      <c r="GM4" s="583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</row>
    <row r="5" spans="1:254" ht="18.75" customHeight="1" x14ac:dyDescent="0.2">
      <c r="A5" s="12">
        <f>IF($B$11="","",$B$11*10+4)</f>
        <v>64</v>
      </c>
      <c r="B5" s="13" t="str">
        <f>IF(A5="","",VLOOKUP(A5,Список!E:O,2,FALSE))</f>
        <v xml:space="preserve"> Овчаренко Игорь Викторович</v>
      </c>
      <c r="C5" s="14">
        <f>IF($B$11="","",$D$11*10+4)</f>
        <v>84</v>
      </c>
      <c r="D5" s="15" t="str">
        <f>IF(C5="","",VLOOKUP(C5,Список!E:O,2,FALSE))</f>
        <v>-</v>
      </c>
      <c r="E5" s="579"/>
      <c r="F5" s="580"/>
      <c r="G5" s="580"/>
      <c r="H5" s="580"/>
      <c r="I5" s="580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4"/>
      <c r="CE5" s="584"/>
      <c r="CF5" s="584"/>
      <c r="CG5" s="584"/>
      <c r="CH5" s="584"/>
      <c r="CI5" s="584"/>
      <c r="CJ5" s="584"/>
      <c r="CK5" s="584"/>
      <c r="CL5" s="584"/>
      <c r="CM5" s="584"/>
      <c r="CN5" s="584"/>
      <c r="CO5" s="584"/>
      <c r="CP5" s="584"/>
      <c r="CQ5" s="584"/>
      <c r="CR5" s="584"/>
      <c r="CS5" s="584"/>
      <c r="CT5" s="572"/>
      <c r="CU5" s="572"/>
      <c r="CV5" s="572"/>
      <c r="CW5" s="572"/>
      <c r="CX5" s="572"/>
      <c r="CY5" s="572"/>
      <c r="CZ5" s="572"/>
      <c r="DA5" s="572"/>
      <c r="DB5" s="572"/>
      <c r="DC5" s="572"/>
      <c r="DD5" s="572"/>
      <c r="DE5" s="572"/>
      <c r="DF5" s="572"/>
      <c r="DG5" s="572"/>
      <c r="DH5" s="572"/>
      <c r="DI5" s="572"/>
      <c r="DJ5" s="572"/>
      <c r="DK5" s="572"/>
      <c r="DL5" s="572"/>
      <c r="DM5" s="572"/>
      <c r="DN5" s="572"/>
      <c r="DO5" s="572"/>
      <c r="DP5" s="572"/>
      <c r="DQ5" s="572"/>
      <c r="DR5" s="572"/>
      <c r="DS5" s="572"/>
      <c r="DT5" s="572"/>
      <c r="DU5" s="572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72"/>
      <c r="EY5" s="572"/>
      <c r="EZ5" s="572"/>
      <c r="FA5" s="572"/>
      <c r="FB5" s="572"/>
      <c r="FC5" s="572"/>
      <c r="FD5" s="572"/>
      <c r="FE5" s="572"/>
      <c r="FF5" s="572"/>
      <c r="FG5" s="572"/>
      <c r="FH5" s="572"/>
      <c r="FI5" s="572"/>
      <c r="FJ5" s="572"/>
      <c r="FK5" s="572"/>
      <c r="FL5" s="572"/>
      <c r="FM5" s="572"/>
      <c r="FN5" s="572"/>
      <c r="FO5" s="572"/>
      <c r="FP5" s="572"/>
      <c r="FQ5" s="572"/>
      <c r="FR5" s="572"/>
      <c r="FS5" s="572"/>
      <c r="FT5" s="572"/>
      <c r="FU5" s="572"/>
      <c r="FV5" s="572"/>
      <c r="FW5" s="572"/>
      <c r="FX5" s="572"/>
      <c r="FY5" s="572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</row>
    <row r="6" spans="1:254" ht="18.75" customHeight="1" x14ac:dyDescent="0.2">
      <c r="A6" s="12">
        <f>IF($B$11="","",$B$11*10+5)</f>
        <v>65</v>
      </c>
      <c r="B6" s="13" t="str">
        <f>IF(A6="","",VLOOKUP(A6,Список!E:O,2,FALSE))</f>
        <v xml:space="preserve"> Королев Роман Сергеевич</v>
      </c>
      <c r="C6" s="14">
        <f>IF($B$11="","",$D$11*10+5)</f>
        <v>85</v>
      </c>
      <c r="D6" s="15" t="str">
        <f>IF(C6="","",VLOOKUP(C6,Список!E:O,2,FALSE))</f>
        <v>-</v>
      </c>
      <c r="E6" s="579"/>
      <c r="F6" s="580"/>
      <c r="G6" s="580"/>
      <c r="H6" s="580"/>
      <c r="I6" s="580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4"/>
      <c r="CE6" s="584"/>
      <c r="CF6" s="584"/>
      <c r="CG6" s="584"/>
      <c r="CH6" s="584"/>
      <c r="CI6" s="584"/>
      <c r="CJ6" s="584"/>
      <c r="CK6" s="584"/>
      <c r="CL6" s="584"/>
      <c r="CM6" s="584"/>
      <c r="CN6" s="584"/>
      <c r="CO6" s="584"/>
      <c r="CP6" s="584"/>
      <c r="CQ6" s="584"/>
      <c r="CR6" s="584"/>
      <c r="CS6" s="584"/>
      <c r="CT6" s="572"/>
      <c r="CU6" s="572"/>
      <c r="CV6" s="572"/>
      <c r="CW6" s="572"/>
      <c r="CX6" s="572"/>
      <c r="CY6" s="572"/>
      <c r="CZ6" s="572"/>
      <c r="DA6" s="572"/>
      <c r="DB6" s="572"/>
      <c r="DC6" s="572"/>
      <c r="DD6" s="572"/>
      <c r="DE6" s="572"/>
      <c r="DF6" s="572"/>
      <c r="DG6" s="572"/>
      <c r="DH6" s="572"/>
      <c r="DI6" s="572"/>
      <c r="DJ6" s="572"/>
      <c r="DK6" s="572"/>
      <c r="DL6" s="572"/>
      <c r="DM6" s="572"/>
      <c r="DN6" s="572"/>
      <c r="DO6" s="572"/>
      <c r="DP6" s="572"/>
      <c r="DQ6" s="572"/>
      <c r="DR6" s="572"/>
      <c r="DS6" s="572"/>
      <c r="DT6" s="572"/>
      <c r="DU6" s="572"/>
      <c r="DV6" s="585"/>
      <c r="DW6" s="585"/>
      <c r="DX6" s="585"/>
      <c r="DY6" s="585"/>
      <c r="DZ6" s="585"/>
      <c r="EA6" s="585"/>
      <c r="EB6" s="585"/>
      <c r="EC6" s="585"/>
      <c r="ED6" s="585"/>
      <c r="EE6" s="585"/>
      <c r="EF6" s="585"/>
      <c r="EG6" s="585"/>
      <c r="EH6" s="585"/>
      <c r="EI6" s="585"/>
      <c r="EJ6" s="585"/>
      <c r="EK6" s="585"/>
      <c r="EL6" s="585"/>
      <c r="EM6" s="585"/>
      <c r="EN6" s="585"/>
      <c r="EO6" s="585"/>
      <c r="EP6" s="585"/>
      <c r="EQ6" s="585"/>
      <c r="ER6" s="585"/>
      <c r="ES6" s="585"/>
      <c r="ET6" s="585"/>
      <c r="EU6" s="585"/>
      <c r="EV6" s="585"/>
      <c r="EW6" s="585"/>
      <c r="EX6" s="572"/>
      <c r="EY6" s="572"/>
      <c r="EZ6" s="572"/>
      <c r="FA6" s="572"/>
      <c r="FB6" s="572"/>
      <c r="FC6" s="572"/>
      <c r="FD6" s="572"/>
      <c r="FE6" s="572"/>
      <c r="FF6" s="572"/>
      <c r="FG6" s="572"/>
      <c r="FH6" s="572"/>
      <c r="FI6" s="572"/>
      <c r="FJ6" s="572"/>
      <c r="FK6" s="572"/>
      <c r="FL6" s="572"/>
      <c r="FM6" s="572"/>
      <c r="FN6" s="572"/>
      <c r="FO6" s="572"/>
      <c r="FP6" s="572"/>
      <c r="FQ6" s="572"/>
      <c r="FR6" s="572"/>
      <c r="FS6" s="572"/>
      <c r="FT6" s="572"/>
      <c r="FU6" s="572"/>
      <c r="FV6" s="572"/>
      <c r="FW6" s="572"/>
      <c r="FX6" s="572"/>
      <c r="FY6" s="572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</row>
    <row r="7" spans="1:254" ht="18.75" customHeight="1" x14ac:dyDescent="0.2">
      <c r="A7" s="12">
        <f>IF($B$11="","",$B$11*10+6)</f>
        <v>66</v>
      </c>
      <c r="B7" s="13" t="str">
        <f>IF(A7="","",VLOOKUP(A7,Список!E:O,2,FALSE))</f>
        <v xml:space="preserve"> Горелкин Анатолий Николаевич</v>
      </c>
      <c r="C7" s="14">
        <f>IF($B$11="","",$D$11*10+6)</f>
        <v>86</v>
      </c>
      <c r="D7" s="15" t="str">
        <f>IF(C7="","",VLOOKUP(C7,Список!E:O,2,FALSE))</f>
        <v>-</v>
      </c>
      <c r="E7" s="579"/>
      <c r="F7" s="580"/>
      <c r="G7" s="580"/>
      <c r="H7" s="580"/>
      <c r="I7" s="580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4"/>
      <c r="CE7" s="584"/>
      <c r="CF7" s="584"/>
      <c r="CG7" s="584"/>
      <c r="CH7" s="584"/>
      <c r="CI7" s="584"/>
      <c r="CJ7" s="584"/>
      <c r="CK7" s="584"/>
      <c r="CL7" s="584"/>
      <c r="CM7" s="584"/>
      <c r="CN7" s="584"/>
      <c r="CO7" s="584"/>
      <c r="CP7" s="584"/>
      <c r="CQ7" s="584"/>
      <c r="CR7" s="584"/>
      <c r="CS7" s="584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85"/>
      <c r="DW7" s="585"/>
      <c r="DX7" s="585"/>
      <c r="DY7" s="585"/>
      <c r="DZ7" s="585"/>
      <c r="EA7" s="585"/>
      <c r="EB7" s="585"/>
      <c r="EC7" s="585"/>
      <c r="ED7" s="585"/>
      <c r="EE7" s="585"/>
      <c r="EF7" s="585"/>
      <c r="EG7" s="585"/>
      <c r="EH7" s="585"/>
      <c r="EI7" s="585"/>
      <c r="EJ7" s="585"/>
      <c r="EK7" s="585"/>
      <c r="EL7" s="585"/>
      <c r="EM7" s="585"/>
      <c r="EN7" s="585"/>
      <c r="EO7" s="585"/>
      <c r="EP7" s="585"/>
      <c r="EQ7" s="585"/>
      <c r="ER7" s="585"/>
      <c r="ES7" s="585"/>
      <c r="ET7" s="585"/>
      <c r="EU7" s="585"/>
      <c r="EV7" s="585"/>
      <c r="EW7" s="585"/>
      <c r="EX7" s="572"/>
      <c r="EY7" s="572"/>
      <c r="EZ7" s="572"/>
      <c r="FA7" s="572"/>
      <c r="FB7" s="572"/>
      <c r="FC7" s="572"/>
      <c r="FD7" s="572"/>
      <c r="FE7" s="572"/>
      <c r="FF7" s="572"/>
      <c r="FG7" s="572"/>
      <c r="FH7" s="572"/>
      <c r="FI7" s="572"/>
      <c r="FJ7" s="572"/>
      <c r="FK7" s="572"/>
      <c r="FL7" s="572"/>
      <c r="FM7" s="572"/>
      <c r="FN7" s="572"/>
      <c r="FO7" s="572"/>
      <c r="FP7" s="572"/>
      <c r="FQ7" s="572"/>
      <c r="FR7" s="572"/>
      <c r="FS7" s="572"/>
      <c r="FT7" s="572"/>
      <c r="FU7" s="572"/>
      <c r="FV7" s="572"/>
      <c r="FW7" s="572"/>
      <c r="FX7" s="572"/>
      <c r="FY7" s="572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</row>
    <row r="8" spans="1:254" ht="39" customHeight="1" x14ac:dyDescent="0.25">
      <c r="A8" s="12">
        <f>IF($B$11="","",$B$11*10+7)</f>
        <v>67</v>
      </c>
      <c r="B8" s="13" t="str">
        <f>IF(A8="","",VLOOKUP(A8,Список!E:O,2,FALSE))</f>
        <v xml:space="preserve"> Осипов Владимир Владимирович</v>
      </c>
      <c r="C8" s="14">
        <f>IF($B$11="","",$D$11*10+7)</f>
        <v>87</v>
      </c>
      <c r="D8" s="15" t="str">
        <f>IF(C8="","",VLOOKUP(C8,Список!E:O,2,FALSE))</f>
        <v>-</v>
      </c>
      <c r="E8" s="579"/>
      <c r="F8" s="580"/>
      <c r="G8" s="580"/>
      <c r="H8" s="580"/>
      <c r="I8" s="580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573" t="str">
        <f>IF(A13="","",VLOOKUP(A13,Список!B:O,12,FALSE))</f>
        <v>«СШ №3(1)» г.Симферополь</v>
      </c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4"/>
      <c r="BE8" s="574"/>
      <c r="BF8" s="574"/>
      <c r="BG8" s="574"/>
      <c r="BH8" s="574"/>
      <c r="BI8" s="574"/>
      <c r="BJ8" s="574"/>
      <c r="BK8" s="574"/>
      <c r="BL8" s="574"/>
      <c r="BM8" s="574"/>
      <c r="BN8" s="574"/>
      <c r="BO8" s="574"/>
      <c r="BP8" s="574"/>
      <c r="BQ8" s="574"/>
      <c r="BR8" s="574"/>
      <c r="BS8" s="574"/>
      <c r="BT8" s="574"/>
      <c r="BU8" s="574"/>
      <c r="BV8" s="574"/>
      <c r="BW8" s="574"/>
      <c r="BX8" s="574"/>
      <c r="BY8" s="574"/>
      <c r="BZ8" s="574"/>
      <c r="CA8" s="574"/>
      <c r="CB8" s="574"/>
      <c r="CC8" s="574"/>
      <c r="CD8" s="574"/>
      <c r="CE8" s="574"/>
      <c r="CF8" s="574"/>
      <c r="CG8" s="574"/>
      <c r="CH8" s="574"/>
      <c r="CI8" s="574"/>
      <c r="CJ8" s="574"/>
      <c r="CK8" s="574"/>
      <c r="CL8" s="574"/>
      <c r="CM8" s="574"/>
      <c r="CN8" s="574"/>
      <c r="CO8" s="574"/>
      <c r="CP8" s="574"/>
      <c r="CQ8" s="574"/>
      <c r="CR8" s="574"/>
      <c r="CS8" s="574"/>
      <c r="CT8" s="574"/>
      <c r="CU8" s="574"/>
      <c r="CV8" s="574"/>
      <c r="CW8" s="574"/>
      <c r="CX8" s="574"/>
      <c r="CY8" s="574"/>
      <c r="CZ8" s="574"/>
      <c r="DA8" s="574"/>
      <c r="DB8" s="574"/>
      <c r="DC8" s="574"/>
      <c r="DD8" s="574"/>
      <c r="DE8" s="574"/>
      <c r="DF8" s="574"/>
      <c r="DG8" s="574"/>
      <c r="DH8" s="574"/>
      <c r="DI8" s="574"/>
      <c r="DJ8" s="574"/>
      <c r="DK8" s="574"/>
      <c r="DL8" s="574"/>
      <c r="DM8" s="574"/>
      <c r="DN8" s="574"/>
      <c r="DO8" s="574"/>
      <c r="DP8" s="574"/>
      <c r="DQ8" s="574"/>
      <c r="DR8" s="574"/>
      <c r="DS8" s="575"/>
      <c r="DT8" s="586" t="s">
        <v>10</v>
      </c>
      <c r="DU8" s="586"/>
      <c r="DV8" s="586"/>
      <c r="DW8" s="586"/>
      <c r="DX8" s="573" t="str">
        <f>IF(C13="","",VLOOKUP(C13,Список!B:O,12,FALSE))</f>
        <v>«АРСЕНАЛ-С» г.Севастополь</v>
      </c>
      <c r="DY8" s="574"/>
      <c r="DZ8" s="574"/>
      <c r="EA8" s="574"/>
      <c r="EB8" s="574"/>
      <c r="EC8" s="574"/>
      <c r="ED8" s="574"/>
      <c r="EE8" s="574"/>
      <c r="EF8" s="574"/>
      <c r="EG8" s="574"/>
      <c r="EH8" s="574"/>
      <c r="EI8" s="574"/>
      <c r="EJ8" s="574"/>
      <c r="EK8" s="574"/>
      <c r="EL8" s="574"/>
      <c r="EM8" s="574"/>
      <c r="EN8" s="574"/>
      <c r="EO8" s="574"/>
      <c r="EP8" s="574"/>
      <c r="EQ8" s="574"/>
      <c r="ER8" s="574"/>
      <c r="ES8" s="574"/>
      <c r="ET8" s="574"/>
      <c r="EU8" s="574"/>
      <c r="EV8" s="574"/>
      <c r="EW8" s="574"/>
      <c r="EX8" s="574"/>
      <c r="EY8" s="574"/>
      <c r="EZ8" s="574"/>
      <c r="FA8" s="574"/>
      <c r="FB8" s="574"/>
      <c r="FC8" s="574"/>
      <c r="FD8" s="574"/>
      <c r="FE8" s="574"/>
      <c r="FF8" s="574"/>
      <c r="FG8" s="574"/>
      <c r="FH8" s="574"/>
      <c r="FI8" s="574"/>
      <c r="FJ8" s="574"/>
      <c r="FK8" s="574"/>
      <c r="FL8" s="574"/>
      <c r="FM8" s="574"/>
      <c r="FN8" s="574"/>
      <c r="FO8" s="574"/>
      <c r="FP8" s="574"/>
      <c r="FQ8" s="574"/>
      <c r="FR8" s="574"/>
      <c r="FS8" s="574"/>
      <c r="FT8" s="574"/>
      <c r="FU8" s="574"/>
      <c r="FV8" s="574"/>
      <c r="FW8" s="574"/>
      <c r="FX8" s="574"/>
      <c r="FY8" s="574"/>
      <c r="FZ8" s="574"/>
      <c r="GA8" s="574"/>
      <c r="GB8" s="574"/>
      <c r="GC8" s="574"/>
      <c r="GD8" s="574"/>
      <c r="GE8" s="574"/>
      <c r="GF8" s="574"/>
      <c r="GG8" s="574"/>
      <c r="GH8" s="574"/>
      <c r="GI8" s="574"/>
      <c r="GJ8" s="574"/>
      <c r="GK8" s="574"/>
      <c r="GL8" s="574"/>
      <c r="GM8" s="574"/>
      <c r="GN8" s="574"/>
      <c r="GO8" s="574"/>
      <c r="GP8" s="574"/>
      <c r="GQ8" s="574"/>
      <c r="GR8" s="574"/>
      <c r="GS8" s="574"/>
      <c r="GT8" s="574"/>
      <c r="GU8" s="574"/>
      <c r="GV8" s="574"/>
      <c r="GW8" s="574"/>
      <c r="GX8" s="574"/>
      <c r="GY8" s="574"/>
      <c r="GZ8" s="574"/>
      <c r="HA8" s="574"/>
      <c r="HB8" s="574"/>
      <c r="HC8" s="574"/>
      <c r="HD8" s="575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20"/>
      <c r="HY8" s="21"/>
      <c r="HZ8" s="21"/>
    </row>
    <row r="9" spans="1:254" ht="18.75" customHeight="1" thickBot="1" x14ac:dyDescent="0.25">
      <c r="A9" s="12">
        <f>IF($B$11="","",$B$11*10+8)</f>
        <v>68</v>
      </c>
      <c r="B9" s="13" t="str">
        <f>IF(A9="","",VLOOKUP(A9,Список!E:O,2,FALSE))</f>
        <v xml:space="preserve"> Митин Павел Вадимович</v>
      </c>
      <c r="C9" s="14">
        <f>IF($B$11="","",$D$11*10+8)</f>
        <v>88</v>
      </c>
      <c r="D9" s="15" t="str">
        <f>IF(C9="","",VLOOKUP(C9,Список!E:O,2,FALSE))</f>
        <v>-</v>
      </c>
      <c r="E9" s="579"/>
      <c r="F9" s="580"/>
      <c r="G9" s="580"/>
      <c r="H9" s="580"/>
      <c r="I9" s="580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587" t="s">
        <v>11</v>
      </c>
      <c r="AN9" s="587"/>
      <c r="AO9" s="587"/>
      <c r="AP9" s="587"/>
      <c r="AQ9" s="587"/>
      <c r="AR9" s="587"/>
      <c r="AS9" s="587"/>
      <c r="AT9" s="587"/>
      <c r="AU9" s="587"/>
      <c r="AV9" s="587"/>
      <c r="AW9" s="587"/>
      <c r="AX9" s="587"/>
      <c r="AY9" s="587"/>
      <c r="AZ9" s="587"/>
      <c r="BA9" s="587"/>
      <c r="BB9" s="587"/>
      <c r="BC9" s="587"/>
      <c r="BD9" s="587"/>
      <c r="BE9" s="587"/>
      <c r="BF9" s="587"/>
      <c r="BG9" s="587"/>
      <c r="BH9" s="587"/>
      <c r="BI9" s="587"/>
      <c r="BJ9" s="587"/>
      <c r="BK9" s="587"/>
      <c r="BL9" s="587"/>
      <c r="BM9" s="587"/>
      <c r="BN9" s="587"/>
      <c r="BO9" s="587"/>
      <c r="BP9" s="587"/>
      <c r="BQ9" s="587"/>
      <c r="BR9" s="587"/>
      <c r="BS9" s="587"/>
      <c r="BT9" s="587"/>
      <c r="BU9" s="587"/>
      <c r="BV9" s="587"/>
      <c r="BW9" s="587"/>
      <c r="BX9" s="587"/>
      <c r="BY9" s="587"/>
      <c r="BZ9" s="587"/>
      <c r="CA9" s="587"/>
      <c r="CB9" s="587"/>
      <c r="CC9" s="587"/>
      <c r="CD9" s="587"/>
      <c r="CE9" s="587"/>
      <c r="CF9" s="587"/>
      <c r="CG9" s="587"/>
      <c r="CH9" s="587"/>
      <c r="CI9" s="587"/>
      <c r="CJ9" s="587"/>
      <c r="CK9" s="587"/>
      <c r="CL9" s="587"/>
      <c r="CM9" s="587"/>
      <c r="CN9" s="587"/>
      <c r="CO9" s="587"/>
      <c r="CP9" s="587"/>
      <c r="CQ9" s="587"/>
      <c r="CR9" s="587"/>
      <c r="CS9" s="587"/>
      <c r="CT9" s="587"/>
      <c r="CU9" s="587"/>
      <c r="CV9" s="587"/>
      <c r="CW9" s="587"/>
      <c r="CX9" s="587"/>
      <c r="CY9" s="587"/>
      <c r="CZ9" s="587"/>
      <c r="DA9" s="587"/>
      <c r="DB9" s="587"/>
      <c r="DC9" s="587"/>
      <c r="DD9" s="587"/>
      <c r="DE9" s="587"/>
      <c r="DF9" s="587"/>
      <c r="DG9" s="587"/>
      <c r="DH9" s="587"/>
      <c r="DI9" s="587"/>
      <c r="DJ9" s="587"/>
      <c r="DK9" s="587"/>
      <c r="DL9" s="587"/>
      <c r="DM9" s="587"/>
      <c r="DN9" s="587"/>
      <c r="DO9" s="587"/>
      <c r="DP9" s="587"/>
      <c r="DQ9" s="587"/>
      <c r="DR9" s="587"/>
      <c r="DS9" s="587"/>
      <c r="DT9" s="22"/>
      <c r="DU9" s="23"/>
      <c r="DV9" s="24"/>
      <c r="DW9" s="24"/>
      <c r="DX9" s="587" t="s">
        <v>11</v>
      </c>
      <c r="DY9" s="587"/>
      <c r="DZ9" s="587"/>
      <c r="EA9" s="587"/>
      <c r="EB9" s="587"/>
      <c r="EC9" s="587"/>
      <c r="ED9" s="587"/>
      <c r="EE9" s="587"/>
      <c r="EF9" s="587"/>
      <c r="EG9" s="587"/>
      <c r="EH9" s="587"/>
      <c r="EI9" s="587"/>
      <c r="EJ9" s="587"/>
      <c r="EK9" s="587"/>
      <c r="EL9" s="587"/>
      <c r="EM9" s="587"/>
      <c r="EN9" s="587"/>
      <c r="EO9" s="587"/>
      <c r="EP9" s="587"/>
      <c r="EQ9" s="587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587"/>
      <c r="FE9" s="587"/>
      <c r="FF9" s="587"/>
      <c r="FG9" s="587"/>
      <c r="FH9" s="587"/>
      <c r="FI9" s="587"/>
      <c r="FJ9" s="587"/>
      <c r="FK9" s="587"/>
      <c r="FL9" s="587"/>
      <c r="FM9" s="587"/>
      <c r="FN9" s="587"/>
      <c r="FO9" s="587"/>
      <c r="FP9" s="587"/>
      <c r="FQ9" s="587"/>
      <c r="FR9" s="587"/>
      <c r="FS9" s="587"/>
      <c r="FT9" s="587"/>
      <c r="FU9" s="587"/>
      <c r="FV9" s="587"/>
      <c r="FW9" s="587"/>
      <c r="FX9" s="587"/>
      <c r="FY9" s="587"/>
      <c r="FZ9" s="587"/>
      <c r="GA9" s="587"/>
      <c r="GB9" s="587"/>
      <c r="GC9" s="587"/>
      <c r="GD9" s="587"/>
      <c r="GE9" s="587"/>
      <c r="GF9" s="587"/>
      <c r="GG9" s="587"/>
      <c r="GH9" s="587"/>
      <c r="GI9" s="587"/>
      <c r="GJ9" s="587"/>
      <c r="GK9" s="587"/>
      <c r="GL9" s="587"/>
      <c r="GM9" s="587"/>
      <c r="GN9" s="587"/>
      <c r="GO9" s="587"/>
      <c r="GP9" s="587"/>
      <c r="GQ9" s="587"/>
      <c r="GR9" s="587"/>
      <c r="GS9" s="587"/>
      <c r="GT9" s="587"/>
      <c r="GU9" s="587"/>
      <c r="GV9" s="587"/>
      <c r="GW9" s="587"/>
      <c r="GX9" s="587"/>
      <c r="GY9" s="587"/>
      <c r="GZ9" s="587"/>
      <c r="HA9" s="587"/>
      <c r="HB9" s="587"/>
      <c r="HC9" s="587"/>
      <c r="HD9" s="587"/>
      <c r="HE9" s="22"/>
      <c r="HF9" s="19"/>
      <c r="HG9" s="19"/>
      <c r="HH9" s="19"/>
      <c r="HI9" s="19"/>
      <c r="HJ9" s="19"/>
      <c r="HK9" s="19"/>
      <c r="HL9" s="19"/>
      <c r="HM9" s="19"/>
      <c r="HN9" s="19"/>
    </row>
    <row r="10" spans="1:254" ht="45" customHeight="1" thickTop="1" thickBot="1" x14ac:dyDescent="0.25"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488" t="s">
        <v>12</v>
      </c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89"/>
      <c r="BR10" s="489"/>
      <c r="BS10" s="489"/>
      <c r="BT10" s="489"/>
      <c r="BU10" s="489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90"/>
      <c r="CI10" s="488" t="s">
        <v>95</v>
      </c>
      <c r="CJ10" s="489"/>
      <c r="CK10" s="489"/>
      <c r="CL10" s="489"/>
      <c r="CM10" s="489"/>
      <c r="CN10" s="489"/>
      <c r="CO10" s="489"/>
      <c r="CP10" s="489"/>
      <c r="CQ10" s="489"/>
      <c r="CR10" s="489"/>
      <c r="CS10" s="489"/>
      <c r="CT10" s="489"/>
      <c r="CU10" s="489"/>
      <c r="CV10" s="489"/>
      <c r="CW10" s="489"/>
      <c r="CX10" s="489"/>
      <c r="CY10" s="489"/>
      <c r="CZ10" s="489"/>
      <c r="DA10" s="489"/>
      <c r="DB10" s="489"/>
      <c r="DC10" s="489"/>
      <c r="DD10" s="489"/>
      <c r="DE10" s="489"/>
      <c r="DF10" s="489"/>
      <c r="DG10" s="489"/>
      <c r="DH10" s="489"/>
      <c r="DI10" s="489"/>
      <c r="DJ10" s="489"/>
      <c r="DK10" s="489"/>
      <c r="DL10" s="489"/>
      <c r="DM10" s="489"/>
      <c r="DN10" s="489"/>
      <c r="DO10" s="489"/>
      <c r="DP10" s="489"/>
      <c r="DQ10" s="489"/>
      <c r="DR10" s="489"/>
      <c r="DS10" s="489"/>
      <c r="DT10" s="489"/>
      <c r="DU10" s="489"/>
      <c r="DV10" s="489"/>
      <c r="DW10" s="489"/>
      <c r="DX10" s="489"/>
      <c r="DY10" s="489"/>
      <c r="DZ10" s="489"/>
      <c r="EA10" s="489"/>
      <c r="EB10" s="489"/>
      <c r="EC10" s="489"/>
      <c r="ED10" s="489"/>
      <c r="EE10" s="489"/>
      <c r="EF10" s="489"/>
      <c r="EG10" s="489"/>
      <c r="EH10" s="489"/>
      <c r="EI10" s="489"/>
      <c r="EJ10" s="489"/>
      <c r="EK10" s="489"/>
      <c r="EL10" s="489"/>
      <c r="EM10" s="489"/>
      <c r="EN10" s="490"/>
      <c r="EO10" s="26"/>
      <c r="EP10" s="287" t="s">
        <v>13</v>
      </c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9"/>
      <c r="GJ10" s="19"/>
      <c r="GK10" s="265" t="s">
        <v>14</v>
      </c>
      <c r="GL10" s="266"/>
      <c r="GM10" s="266"/>
      <c r="GN10" s="266"/>
      <c r="GO10" s="266"/>
      <c r="GP10" s="266"/>
      <c r="GQ10" s="266"/>
      <c r="GR10" s="266"/>
      <c r="GS10" s="266"/>
      <c r="GT10" s="266"/>
      <c r="GU10" s="266"/>
      <c r="GV10" s="267"/>
      <c r="GW10" s="265" t="s">
        <v>15</v>
      </c>
      <c r="GX10" s="266"/>
      <c r="GY10" s="266"/>
      <c r="GZ10" s="266"/>
      <c r="HA10" s="266"/>
      <c r="HB10" s="266"/>
      <c r="HC10" s="266"/>
      <c r="HD10" s="266"/>
      <c r="HE10" s="267"/>
      <c r="HF10" s="265" t="s">
        <v>16</v>
      </c>
      <c r="HG10" s="266"/>
      <c r="HH10" s="266"/>
      <c r="HI10" s="266"/>
      <c r="HJ10" s="266"/>
      <c r="HK10" s="266"/>
      <c r="HL10" s="266"/>
      <c r="HM10" s="266"/>
      <c r="HN10" s="267"/>
    </row>
    <row r="11" spans="1:254" ht="30" customHeight="1" thickBot="1" x14ac:dyDescent="0.25">
      <c r="A11" s="27" t="s">
        <v>17</v>
      </c>
      <c r="B11" s="28">
        <v>6</v>
      </c>
      <c r="C11" s="27" t="s">
        <v>18</v>
      </c>
      <c r="D11" s="29">
        <f>IF(B11="","",IF(B11=A13,C13,IF(B11=C13,A13,)))</f>
        <v>8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553" t="str">
        <f>IF(B11="","",VLOOKUP(B11,Список!B:O,12,FALSE))</f>
        <v>«АРСЕНАЛ-С» г.Севастополь</v>
      </c>
      <c r="AD11" s="554"/>
      <c r="AE11" s="554"/>
      <c r="AF11" s="554"/>
      <c r="AG11" s="554"/>
      <c r="AH11" s="554"/>
      <c r="AI11" s="554"/>
      <c r="AJ11" s="554"/>
      <c r="AK11" s="554"/>
      <c r="AL11" s="554"/>
      <c r="AM11" s="554"/>
      <c r="AN11" s="554"/>
      <c r="AO11" s="554"/>
      <c r="AP11" s="554"/>
      <c r="AQ11" s="554"/>
      <c r="AR11" s="554"/>
      <c r="AS11" s="554"/>
      <c r="AT11" s="554"/>
      <c r="AU11" s="554"/>
      <c r="AV11" s="554"/>
      <c r="AW11" s="554"/>
      <c r="AX11" s="554"/>
      <c r="AY11" s="554"/>
      <c r="AZ11" s="554"/>
      <c r="BA11" s="554"/>
      <c r="BB11" s="554"/>
      <c r="BC11" s="554"/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5"/>
      <c r="CI11" s="553" t="str">
        <f>IF(D11="","",VLOOKUP(D11,Список!B:O,12,FALSE))</f>
        <v>«СШ №3(1)» г.Симферополь</v>
      </c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  <c r="DJ11" s="554"/>
      <c r="DK11" s="554"/>
      <c r="DL11" s="554"/>
      <c r="DM11" s="554"/>
      <c r="DN11" s="554"/>
      <c r="DO11" s="554"/>
      <c r="DP11" s="554"/>
      <c r="DQ11" s="554"/>
      <c r="DR11" s="554"/>
      <c r="DS11" s="554"/>
      <c r="DT11" s="554"/>
      <c r="DU11" s="554"/>
      <c r="DV11" s="554"/>
      <c r="DW11" s="554"/>
      <c r="DX11" s="554"/>
      <c r="DY11" s="554"/>
      <c r="DZ11" s="554"/>
      <c r="EA11" s="554"/>
      <c r="EB11" s="554"/>
      <c r="EC11" s="554"/>
      <c r="ED11" s="554"/>
      <c r="EE11" s="554"/>
      <c r="EF11" s="554"/>
      <c r="EG11" s="554"/>
      <c r="EH11" s="554"/>
      <c r="EI11" s="554"/>
      <c r="EJ11" s="554"/>
      <c r="EK11" s="554"/>
      <c r="EL11" s="554"/>
      <c r="EM11" s="554"/>
      <c r="EN11" s="555"/>
      <c r="EO11" s="30"/>
      <c r="EP11" s="556" t="str">
        <f>IF($E$1="","",VLOOKUP($E$1,'Общее расписание'!$B:$V,17,FALSE))</f>
        <v>г. Симферополь 
28-29 октября 2023 г.</v>
      </c>
      <c r="EQ11" s="557"/>
      <c r="ER11" s="557"/>
      <c r="ES11" s="557"/>
      <c r="ET11" s="557"/>
      <c r="EU11" s="557"/>
      <c r="EV11" s="557"/>
      <c r="EW11" s="557"/>
      <c r="EX11" s="557"/>
      <c r="EY11" s="557"/>
      <c r="EZ11" s="557"/>
      <c r="FA11" s="557"/>
      <c r="FB11" s="557"/>
      <c r="FC11" s="557"/>
      <c r="FD11" s="557"/>
      <c r="FE11" s="557"/>
      <c r="FF11" s="557"/>
      <c r="FG11" s="557"/>
      <c r="FH11" s="557"/>
      <c r="FI11" s="557"/>
      <c r="FJ11" s="557"/>
      <c r="FK11" s="557"/>
      <c r="FL11" s="557"/>
      <c r="FM11" s="557"/>
      <c r="FN11" s="557"/>
      <c r="FO11" s="557"/>
      <c r="FP11" s="557"/>
      <c r="FQ11" s="557"/>
      <c r="FR11" s="557"/>
      <c r="FS11" s="557"/>
      <c r="FT11" s="557"/>
      <c r="FU11" s="557"/>
      <c r="FV11" s="557"/>
      <c r="FW11" s="557"/>
      <c r="FX11" s="557"/>
      <c r="FY11" s="557"/>
      <c r="FZ11" s="557"/>
      <c r="GA11" s="557"/>
      <c r="GB11" s="557"/>
      <c r="GC11" s="557"/>
      <c r="GD11" s="557"/>
      <c r="GE11" s="557"/>
      <c r="GF11" s="557"/>
      <c r="GG11" s="557"/>
      <c r="GH11" s="557"/>
      <c r="GI11" s="558"/>
      <c r="GJ11" s="19"/>
      <c r="GK11" s="274">
        <f>IF($E$1="","",VLOOKUP($E$1,'Общее расписание'!$B:$V,8,FALSE))</f>
        <v>45228</v>
      </c>
      <c r="GL11" s="275"/>
      <c r="GM11" s="275"/>
      <c r="GN11" s="275"/>
      <c r="GO11" s="275"/>
      <c r="GP11" s="275"/>
      <c r="GQ11" s="275"/>
      <c r="GR11" s="275"/>
      <c r="GS11" s="275"/>
      <c r="GT11" s="275"/>
      <c r="GU11" s="275"/>
      <c r="GV11" s="276"/>
      <c r="GW11" s="562" t="str">
        <f>IF($E$1="","",VLOOKUP($E$1,'Общее расписание'!$B:$V,9,FALSE))</f>
        <v>10:30</v>
      </c>
      <c r="GX11" s="563"/>
      <c r="GY11" s="563"/>
      <c r="GZ11" s="563"/>
      <c r="HA11" s="563"/>
      <c r="HB11" s="563"/>
      <c r="HC11" s="563"/>
      <c r="HD11" s="563"/>
      <c r="HE11" s="564"/>
      <c r="HF11" s="277" t="str">
        <f>IF($E$1="","",IF(VLOOKUP($E$1,'Общее расписание'!$B:$V,5,FALSE)="","",VLOOKUP($E$1,'Общее расписание'!$B:$V,5,FALSE)))</f>
        <v/>
      </c>
      <c r="HG11" s="278"/>
      <c r="HH11" s="278"/>
      <c r="HI11" s="278"/>
      <c r="HJ11" s="278"/>
      <c r="HK11" s="278"/>
      <c r="HL11" s="278"/>
      <c r="HM11" s="278"/>
      <c r="HN11" s="279"/>
    </row>
    <row r="12" spans="1:254" ht="30" customHeight="1" thickBot="1" x14ac:dyDescent="0.25">
      <c r="B12" s="25">
        <f>IF(B11="","",B11*10)</f>
        <v>60</v>
      </c>
      <c r="D12" s="25">
        <f>IF(B11="","",D11*10)</f>
        <v>80</v>
      </c>
      <c r="E12" s="17"/>
      <c r="F12" s="17"/>
      <c r="G12" s="17"/>
      <c r="H12" s="17"/>
      <c r="I12" s="17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550" t="s">
        <v>19</v>
      </c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2"/>
      <c r="BQ12" s="546" t="s">
        <v>5</v>
      </c>
      <c r="BR12" s="547"/>
      <c r="BS12" s="547"/>
      <c r="BT12" s="548"/>
      <c r="BU12" s="546"/>
      <c r="BV12" s="547"/>
      <c r="BW12" s="547"/>
      <c r="BX12" s="547"/>
      <c r="BY12" s="548"/>
      <c r="BZ12" s="546" t="s">
        <v>20</v>
      </c>
      <c r="CA12" s="547"/>
      <c r="CB12" s="547"/>
      <c r="CC12" s="548"/>
      <c r="CD12" s="546"/>
      <c r="CE12" s="547"/>
      <c r="CF12" s="547"/>
      <c r="CG12" s="547"/>
      <c r="CH12" s="549"/>
      <c r="CI12" s="550" t="s">
        <v>19</v>
      </c>
      <c r="CJ12" s="551"/>
      <c r="CK12" s="551"/>
      <c r="CL12" s="551"/>
      <c r="CM12" s="551"/>
      <c r="CN12" s="551"/>
      <c r="CO12" s="551"/>
      <c r="CP12" s="551"/>
      <c r="CQ12" s="551"/>
      <c r="CR12" s="551"/>
      <c r="CS12" s="551"/>
      <c r="CT12" s="551"/>
      <c r="CU12" s="551"/>
      <c r="CV12" s="551"/>
      <c r="CW12" s="551"/>
      <c r="CX12" s="551"/>
      <c r="CY12" s="551"/>
      <c r="CZ12" s="551"/>
      <c r="DA12" s="551"/>
      <c r="DB12" s="551"/>
      <c r="DC12" s="551"/>
      <c r="DD12" s="551"/>
      <c r="DE12" s="551"/>
      <c r="DF12" s="551"/>
      <c r="DG12" s="551"/>
      <c r="DH12" s="551"/>
      <c r="DI12" s="551"/>
      <c r="DJ12" s="551"/>
      <c r="DK12" s="551"/>
      <c r="DL12" s="551"/>
      <c r="DM12" s="551"/>
      <c r="DN12" s="551"/>
      <c r="DO12" s="551"/>
      <c r="DP12" s="551"/>
      <c r="DQ12" s="551"/>
      <c r="DR12" s="551"/>
      <c r="DS12" s="551"/>
      <c r="DT12" s="551"/>
      <c r="DU12" s="551"/>
      <c r="DV12" s="552"/>
      <c r="DW12" s="546" t="s">
        <v>5</v>
      </c>
      <c r="DX12" s="547"/>
      <c r="DY12" s="547"/>
      <c r="DZ12" s="548"/>
      <c r="EA12" s="546"/>
      <c r="EB12" s="547"/>
      <c r="EC12" s="547"/>
      <c r="ED12" s="547"/>
      <c r="EE12" s="548"/>
      <c r="EF12" s="546" t="s">
        <v>20</v>
      </c>
      <c r="EG12" s="547"/>
      <c r="EH12" s="547"/>
      <c r="EI12" s="548"/>
      <c r="EJ12" s="546"/>
      <c r="EK12" s="547"/>
      <c r="EL12" s="547"/>
      <c r="EM12" s="547"/>
      <c r="EN12" s="549"/>
      <c r="EO12" s="30"/>
      <c r="EP12" s="556"/>
      <c r="EQ12" s="557"/>
      <c r="ER12" s="557"/>
      <c r="ES12" s="557"/>
      <c r="ET12" s="557"/>
      <c r="EU12" s="557"/>
      <c r="EV12" s="557"/>
      <c r="EW12" s="557"/>
      <c r="EX12" s="557"/>
      <c r="EY12" s="557"/>
      <c r="EZ12" s="557"/>
      <c r="FA12" s="557"/>
      <c r="FB12" s="557"/>
      <c r="FC12" s="557"/>
      <c r="FD12" s="557"/>
      <c r="FE12" s="557"/>
      <c r="FF12" s="557"/>
      <c r="FG12" s="557"/>
      <c r="FH12" s="557"/>
      <c r="FI12" s="557"/>
      <c r="FJ12" s="557"/>
      <c r="FK12" s="557"/>
      <c r="FL12" s="557"/>
      <c r="FM12" s="557"/>
      <c r="FN12" s="557"/>
      <c r="FO12" s="557"/>
      <c r="FP12" s="557"/>
      <c r="FQ12" s="557"/>
      <c r="FR12" s="557"/>
      <c r="FS12" s="557"/>
      <c r="FT12" s="557"/>
      <c r="FU12" s="557"/>
      <c r="FV12" s="557"/>
      <c r="FW12" s="557"/>
      <c r="FX12" s="557"/>
      <c r="FY12" s="557"/>
      <c r="FZ12" s="557"/>
      <c r="GA12" s="557"/>
      <c r="GB12" s="557"/>
      <c r="GC12" s="557"/>
      <c r="GD12" s="557"/>
      <c r="GE12" s="557"/>
      <c r="GF12" s="557"/>
      <c r="GG12" s="557"/>
      <c r="GH12" s="557"/>
      <c r="GI12" s="558"/>
      <c r="GJ12" s="19"/>
      <c r="GK12" s="265" t="s">
        <v>21</v>
      </c>
      <c r="GL12" s="266"/>
      <c r="GM12" s="266"/>
      <c r="GN12" s="266"/>
      <c r="GO12" s="266"/>
      <c r="GP12" s="266"/>
      <c r="GQ12" s="266"/>
      <c r="GR12" s="266"/>
      <c r="GS12" s="266"/>
      <c r="GT12" s="266"/>
      <c r="GU12" s="266"/>
      <c r="GV12" s="266"/>
      <c r="GW12" s="266"/>
      <c r="GX12" s="266"/>
      <c r="GY12" s="266"/>
      <c r="GZ12" s="266"/>
      <c r="HA12" s="266"/>
      <c r="HB12" s="266"/>
      <c r="HC12" s="266"/>
      <c r="HD12" s="266"/>
      <c r="HE12" s="267"/>
      <c r="HF12" s="265" t="s">
        <v>22</v>
      </c>
      <c r="HG12" s="266"/>
      <c r="HH12" s="266"/>
      <c r="HI12" s="266"/>
      <c r="HJ12" s="266"/>
      <c r="HK12" s="266"/>
      <c r="HL12" s="266"/>
      <c r="HM12" s="266"/>
      <c r="HN12" s="267"/>
      <c r="HO12" s="32"/>
    </row>
    <row r="13" spans="1:254" ht="30" customHeight="1" thickBot="1" x14ac:dyDescent="0.25">
      <c r="A13" s="565">
        <f>IF($E$1="","",VLOOKUP($E$1,'Общее расписание'!$B:$V,2,FALSE))</f>
        <v>8</v>
      </c>
      <c r="B13" s="566"/>
      <c r="C13" s="565">
        <f>IF($E$1="","",VLOOKUP($E$1,'Общее расписание'!$B:$V,3,FALSE))</f>
        <v>6</v>
      </c>
      <c r="D13" s="566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3"/>
      <c r="AC13" s="569" t="str">
        <f>IF(B11="","",VLOOKUP(B11,Список!B:O,13,FALSE))</f>
        <v>Свистунов А.Н.</v>
      </c>
      <c r="AD13" s="570"/>
      <c r="AE13" s="570"/>
      <c r="AF13" s="570"/>
      <c r="AG13" s="570"/>
      <c r="AH13" s="570"/>
      <c r="AI13" s="570"/>
      <c r="AJ13" s="570"/>
      <c r="AK13" s="570"/>
      <c r="AL13" s="570"/>
      <c r="AM13" s="570"/>
      <c r="AN13" s="570"/>
      <c r="AO13" s="570"/>
      <c r="AP13" s="570"/>
      <c r="AQ13" s="570"/>
      <c r="AR13" s="570"/>
      <c r="AS13" s="570"/>
      <c r="AT13" s="570"/>
      <c r="AU13" s="570"/>
      <c r="AV13" s="570"/>
      <c r="AW13" s="570"/>
      <c r="AX13" s="570"/>
      <c r="AY13" s="570"/>
      <c r="AZ13" s="570"/>
      <c r="BA13" s="570"/>
      <c r="BB13" s="570"/>
      <c r="BC13" s="570"/>
      <c r="BD13" s="570"/>
      <c r="BE13" s="570"/>
      <c r="BF13" s="570"/>
      <c r="BG13" s="570"/>
      <c r="BH13" s="570"/>
      <c r="BI13" s="570"/>
      <c r="BJ13" s="570"/>
      <c r="BK13" s="570"/>
      <c r="BL13" s="570"/>
      <c r="BM13" s="570"/>
      <c r="BN13" s="570"/>
      <c r="BO13" s="570"/>
      <c r="BP13" s="570"/>
      <c r="BQ13" s="570"/>
      <c r="BR13" s="570"/>
      <c r="BS13" s="570"/>
      <c r="BT13" s="570"/>
      <c r="BU13" s="570"/>
      <c r="BV13" s="570"/>
      <c r="BW13" s="570"/>
      <c r="BX13" s="570"/>
      <c r="BY13" s="570"/>
      <c r="BZ13" s="570"/>
      <c r="CA13" s="570"/>
      <c r="CB13" s="570"/>
      <c r="CC13" s="570"/>
      <c r="CD13" s="570"/>
      <c r="CE13" s="570"/>
      <c r="CF13" s="570"/>
      <c r="CG13" s="570"/>
      <c r="CH13" s="571"/>
      <c r="CI13" s="569" t="str">
        <f>IF(D11="","",VLOOKUP(D11,Список!B:O,13,FALSE))</f>
        <v>Филатов Д.В.</v>
      </c>
      <c r="CJ13" s="570"/>
      <c r="CK13" s="570"/>
      <c r="CL13" s="570"/>
      <c r="CM13" s="570"/>
      <c r="CN13" s="570"/>
      <c r="CO13" s="570"/>
      <c r="CP13" s="570"/>
      <c r="CQ13" s="570"/>
      <c r="CR13" s="570"/>
      <c r="CS13" s="570"/>
      <c r="CT13" s="570"/>
      <c r="CU13" s="570"/>
      <c r="CV13" s="570"/>
      <c r="CW13" s="570"/>
      <c r="CX13" s="570"/>
      <c r="CY13" s="570"/>
      <c r="CZ13" s="570"/>
      <c r="DA13" s="570"/>
      <c r="DB13" s="570"/>
      <c r="DC13" s="570"/>
      <c r="DD13" s="570"/>
      <c r="DE13" s="570"/>
      <c r="DF13" s="570"/>
      <c r="DG13" s="570"/>
      <c r="DH13" s="570"/>
      <c r="DI13" s="570"/>
      <c r="DJ13" s="570"/>
      <c r="DK13" s="570"/>
      <c r="DL13" s="570"/>
      <c r="DM13" s="570"/>
      <c r="DN13" s="570"/>
      <c r="DO13" s="570"/>
      <c r="DP13" s="570"/>
      <c r="DQ13" s="570"/>
      <c r="DR13" s="570"/>
      <c r="DS13" s="570"/>
      <c r="DT13" s="570"/>
      <c r="DU13" s="570"/>
      <c r="DV13" s="570"/>
      <c r="DW13" s="570"/>
      <c r="DX13" s="570"/>
      <c r="DY13" s="570"/>
      <c r="DZ13" s="570"/>
      <c r="EA13" s="570"/>
      <c r="EB13" s="570"/>
      <c r="EC13" s="570"/>
      <c r="ED13" s="570"/>
      <c r="EE13" s="570"/>
      <c r="EF13" s="570"/>
      <c r="EG13" s="570"/>
      <c r="EH13" s="570"/>
      <c r="EI13" s="570"/>
      <c r="EJ13" s="570"/>
      <c r="EK13" s="570"/>
      <c r="EL13" s="570"/>
      <c r="EM13" s="570"/>
      <c r="EN13" s="571"/>
      <c r="EO13" s="34"/>
      <c r="EP13" s="559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1"/>
      <c r="GJ13" s="34"/>
      <c r="GK13" s="277" t="str">
        <f>IF($E$1="","",VLOOKUP($E$1,'Общее расписание'!$B:$V,14,FALSE))</f>
        <v>тур 6, встреча 29, 8 - 6</v>
      </c>
      <c r="GL13" s="278"/>
      <c r="GM13" s="278"/>
      <c r="GN13" s="278"/>
      <c r="GO13" s="278"/>
      <c r="GP13" s="278"/>
      <c r="GQ13" s="278"/>
      <c r="GR13" s="278"/>
      <c r="GS13" s="278"/>
      <c r="GT13" s="278"/>
      <c r="GU13" s="278"/>
      <c r="GV13" s="278"/>
      <c r="GW13" s="278"/>
      <c r="GX13" s="278"/>
      <c r="GY13" s="278"/>
      <c r="GZ13" s="278"/>
      <c r="HA13" s="278"/>
      <c r="HB13" s="278"/>
      <c r="HC13" s="278"/>
      <c r="HD13" s="278"/>
      <c r="HE13" s="279"/>
      <c r="HF13" s="277">
        <f>IF($E$1="","",VLOOKUP($E$1,'Общее расписание'!$B:$V,4,FALSE))</f>
        <v>29</v>
      </c>
      <c r="HG13" s="278"/>
      <c r="HH13" s="278"/>
      <c r="HI13" s="278"/>
      <c r="HJ13" s="278"/>
      <c r="HK13" s="278"/>
      <c r="HL13" s="278"/>
      <c r="HM13" s="278"/>
      <c r="HN13" s="279"/>
    </row>
    <row r="14" spans="1:254" ht="9" customHeight="1" thickTop="1" thickBot="1" x14ac:dyDescent="0.25">
      <c r="A14" s="567"/>
      <c r="B14" s="568"/>
      <c r="C14" s="567"/>
      <c r="D14" s="568"/>
      <c r="E14" s="31"/>
      <c r="F14" s="31"/>
      <c r="G14" s="31"/>
      <c r="H14" s="31"/>
      <c r="I14" s="31"/>
      <c r="AC14" s="159"/>
      <c r="AD14" s="159"/>
      <c r="AE14" s="159"/>
      <c r="AF14" s="159"/>
      <c r="AG14" s="159"/>
      <c r="AH14" s="15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1:254" ht="30" customHeight="1" thickTop="1" thickBot="1" x14ac:dyDescent="0.4">
      <c r="B15" s="37"/>
      <c r="C15" s="38"/>
      <c r="D15" s="37"/>
      <c r="AC15" s="545" t="s">
        <v>23</v>
      </c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2"/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3"/>
      <c r="BN15" s="541" t="s">
        <v>24</v>
      </c>
      <c r="BO15" s="542"/>
      <c r="BP15" s="542"/>
      <c r="BQ15" s="542"/>
      <c r="BR15" s="542"/>
      <c r="BS15" s="542"/>
      <c r="BT15" s="543"/>
      <c r="BU15" s="541" t="s">
        <v>25</v>
      </c>
      <c r="BV15" s="542"/>
      <c r="BW15" s="542"/>
      <c r="BX15" s="542"/>
      <c r="BY15" s="542"/>
      <c r="BZ15" s="542"/>
      <c r="CA15" s="543"/>
      <c r="CB15" s="541" t="s">
        <v>26</v>
      </c>
      <c r="CC15" s="542"/>
      <c r="CD15" s="542"/>
      <c r="CE15" s="542"/>
      <c r="CF15" s="542"/>
      <c r="CG15" s="542"/>
      <c r="CH15" s="544"/>
      <c r="CI15" s="545" t="s">
        <v>23</v>
      </c>
      <c r="CJ15" s="542"/>
      <c r="CK15" s="542"/>
      <c r="CL15" s="542"/>
      <c r="CM15" s="542"/>
      <c r="CN15" s="542"/>
      <c r="CO15" s="542"/>
      <c r="CP15" s="542"/>
      <c r="CQ15" s="542"/>
      <c r="CR15" s="542"/>
      <c r="CS15" s="542"/>
      <c r="CT15" s="542"/>
      <c r="CU15" s="542"/>
      <c r="CV15" s="542"/>
      <c r="CW15" s="542"/>
      <c r="CX15" s="542"/>
      <c r="CY15" s="542"/>
      <c r="CZ15" s="542"/>
      <c r="DA15" s="542"/>
      <c r="DB15" s="542"/>
      <c r="DC15" s="542"/>
      <c r="DD15" s="542"/>
      <c r="DE15" s="542"/>
      <c r="DF15" s="542"/>
      <c r="DG15" s="542"/>
      <c r="DH15" s="542"/>
      <c r="DI15" s="542"/>
      <c r="DJ15" s="542"/>
      <c r="DK15" s="542"/>
      <c r="DL15" s="542"/>
      <c r="DM15" s="542"/>
      <c r="DN15" s="542"/>
      <c r="DO15" s="542"/>
      <c r="DP15" s="542"/>
      <c r="DQ15" s="542"/>
      <c r="DR15" s="542"/>
      <c r="DS15" s="543"/>
      <c r="DT15" s="541" t="s">
        <v>24</v>
      </c>
      <c r="DU15" s="542"/>
      <c r="DV15" s="542"/>
      <c r="DW15" s="542"/>
      <c r="DX15" s="542"/>
      <c r="DY15" s="542"/>
      <c r="DZ15" s="543"/>
      <c r="EA15" s="541" t="s">
        <v>25</v>
      </c>
      <c r="EB15" s="542"/>
      <c r="EC15" s="542"/>
      <c r="ED15" s="542"/>
      <c r="EE15" s="542"/>
      <c r="EF15" s="542"/>
      <c r="EG15" s="543"/>
      <c r="EH15" s="541" t="s">
        <v>26</v>
      </c>
      <c r="EI15" s="542"/>
      <c r="EJ15" s="542"/>
      <c r="EK15" s="542"/>
      <c r="EL15" s="542"/>
      <c r="EM15" s="542"/>
      <c r="EN15" s="544"/>
      <c r="EO15" s="261" t="s">
        <v>27</v>
      </c>
      <c r="EP15" s="262"/>
      <c r="EQ15" s="262"/>
      <c r="ER15" s="262"/>
      <c r="ES15" s="262"/>
      <c r="ET15" s="262"/>
      <c r="EU15" s="262"/>
      <c r="EV15" s="262"/>
      <c r="EW15" s="262"/>
      <c r="EX15" s="263"/>
      <c r="EY15" s="264" t="s">
        <v>28</v>
      </c>
      <c r="EZ15" s="262"/>
      <c r="FA15" s="262"/>
      <c r="FB15" s="262"/>
      <c r="FC15" s="262"/>
      <c r="FD15" s="262"/>
      <c r="FE15" s="262"/>
      <c r="FF15" s="262"/>
      <c r="FG15" s="262"/>
      <c r="FH15" s="263"/>
      <c r="FI15" s="264" t="s">
        <v>29</v>
      </c>
      <c r="FJ15" s="262"/>
      <c r="FK15" s="262"/>
      <c r="FL15" s="262"/>
      <c r="FM15" s="262"/>
      <c r="FN15" s="262"/>
      <c r="FO15" s="262"/>
      <c r="FP15" s="262"/>
      <c r="FQ15" s="262"/>
      <c r="FR15" s="263"/>
      <c r="FS15" s="264" t="s">
        <v>30</v>
      </c>
      <c r="FT15" s="262"/>
      <c r="FU15" s="262"/>
      <c r="FV15" s="262"/>
      <c r="FW15" s="262"/>
      <c r="FX15" s="262"/>
      <c r="FY15" s="262"/>
      <c r="FZ15" s="262"/>
      <c r="GA15" s="262"/>
      <c r="GB15" s="263"/>
      <c r="GC15" s="264" t="s">
        <v>31</v>
      </c>
      <c r="GD15" s="262"/>
      <c r="GE15" s="262"/>
      <c r="GF15" s="262"/>
      <c r="GG15" s="262"/>
      <c r="GH15" s="262"/>
      <c r="GI15" s="262"/>
      <c r="GJ15" s="262"/>
      <c r="GK15" s="262"/>
      <c r="GL15" s="280"/>
      <c r="GM15" s="281" t="s">
        <v>32</v>
      </c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3"/>
      <c r="HA15" s="281" t="s">
        <v>33</v>
      </c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3"/>
    </row>
    <row r="16" spans="1:254" ht="30" customHeight="1" thickTop="1" x14ac:dyDescent="0.35">
      <c r="A16" s="39" t="s">
        <v>17</v>
      </c>
      <c r="B16" s="40">
        <v>66</v>
      </c>
      <c r="C16" s="41" t="s">
        <v>35</v>
      </c>
      <c r="D16" s="40">
        <v>82</v>
      </c>
      <c r="E16" s="42" t="s">
        <v>154</v>
      </c>
      <c r="F16" s="42" t="s">
        <v>156</v>
      </c>
      <c r="G16" s="42" t="s">
        <v>175</v>
      </c>
      <c r="H16" s="42" t="s">
        <v>176</v>
      </c>
      <c r="I16" s="42" t="s">
        <v>155</v>
      </c>
      <c r="J16" s="43">
        <f>IF(E16="","",IF(E16="0",1000,IF(E16="-0",-1000,E16*1)))</f>
        <v>6</v>
      </c>
      <c r="K16" s="43">
        <f>IF(F16="","",IF(F16="0",1000,IF(F16="-0",-1000,F16*1)))</f>
        <v>-9</v>
      </c>
      <c r="L16" s="43">
        <f>IF(G16="","",IF(G16="0",1000,IF(G16="-0",-1000,G16*1)))</f>
        <v>-10</v>
      </c>
      <c r="M16" s="43">
        <f>IF(H16="","",IF(H16="0",1000,IF(H16="-0",-1000,H16*1)))</f>
        <v>10</v>
      </c>
      <c r="N16" s="43">
        <f>IF(I16="","",IF(I16="0",1000,IF(I16="-0",-1000,I16*1)))</f>
        <v>5</v>
      </c>
      <c r="O16" s="44">
        <f>IF(J16="","",IF(J16&gt;0,1,0))</f>
        <v>1</v>
      </c>
      <c r="P16" s="44">
        <f t="shared" ref="P16:S20" si="0">IF(K16="","",IF(K16&gt;0,1,0))</f>
        <v>0</v>
      </c>
      <c r="Q16" s="44">
        <f t="shared" si="0"/>
        <v>0</v>
      </c>
      <c r="R16" s="44">
        <f t="shared" si="0"/>
        <v>1</v>
      </c>
      <c r="S16" s="44">
        <f t="shared" si="0"/>
        <v>1</v>
      </c>
      <c r="T16" s="45">
        <f t="shared" ref="T16:X20" si="1">IF(J16="","",IF(J16&lt;0,1,0))</f>
        <v>0</v>
      </c>
      <c r="U16" s="45">
        <f t="shared" si="1"/>
        <v>1</v>
      </c>
      <c r="V16" s="45">
        <f t="shared" si="1"/>
        <v>1</v>
      </c>
      <c r="W16" s="45">
        <f t="shared" si="1"/>
        <v>0</v>
      </c>
      <c r="X16" s="45">
        <f t="shared" si="1"/>
        <v>0</v>
      </c>
      <c r="Y16" s="46">
        <f>IF(E16="","",SUM(O16:S16))</f>
        <v>3</v>
      </c>
      <c r="Z16" s="46">
        <f>IF(E16="","",SUM(T16:X16))</f>
        <v>2</v>
      </c>
      <c r="AA16" s="47">
        <f>IF(E16="","",IF(Y16&gt;Z16,1,0))</f>
        <v>1</v>
      </c>
      <c r="AB16" s="48">
        <f>IF(E16="","",IF(Y16&lt;Z16,1,0))</f>
        <v>0</v>
      </c>
      <c r="AC16" s="534" t="s">
        <v>17</v>
      </c>
      <c r="AD16" s="535"/>
      <c r="AE16" s="535"/>
      <c r="AF16" s="535"/>
      <c r="AG16" s="536"/>
      <c r="AH16" s="537" t="str">
        <f>IF(B16="","",VLOOKUP(B16,Список!$E:$O,2,FALSE))</f>
        <v xml:space="preserve"> Горелкин Анатолий Николаевич</v>
      </c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9"/>
      <c r="BN16" s="540"/>
      <c r="BO16" s="531"/>
      <c r="BP16" s="531"/>
      <c r="BQ16" s="531"/>
      <c r="BR16" s="531"/>
      <c r="BS16" s="531"/>
      <c r="BT16" s="532"/>
      <c r="BU16" s="530"/>
      <c r="BV16" s="531"/>
      <c r="BW16" s="531"/>
      <c r="BX16" s="531"/>
      <c r="BY16" s="531"/>
      <c r="BZ16" s="531"/>
      <c r="CA16" s="532"/>
      <c r="CB16" s="530"/>
      <c r="CC16" s="531"/>
      <c r="CD16" s="531"/>
      <c r="CE16" s="531"/>
      <c r="CF16" s="531"/>
      <c r="CG16" s="531"/>
      <c r="CH16" s="533"/>
      <c r="CI16" s="534" t="s">
        <v>35</v>
      </c>
      <c r="CJ16" s="535"/>
      <c r="CK16" s="535"/>
      <c r="CL16" s="535"/>
      <c r="CM16" s="536"/>
      <c r="CN16" s="537" t="str">
        <f>IF(D16="","",VLOOKUP(D16,Список!$E:$N,2,FALSE))</f>
        <v xml:space="preserve"> Орбакас Антон Эдуардесович</v>
      </c>
      <c r="CO16" s="538"/>
      <c r="CP16" s="538"/>
      <c r="CQ16" s="538"/>
      <c r="CR16" s="538"/>
      <c r="CS16" s="538"/>
      <c r="CT16" s="538"/>
      <c r="CU16" s="538"/>
      <c r="CV16" s="538"/>
      <c r="CW16" s="538"/>
      <c r="CX16" s="538"/>
      <c r="CY16" s="538"/>
      <c r="CZ16" s="538"/>
      <c r="DA16" s="538"/>
      <c r="DB16" s="538"/>
      <c r="DC16" s="538"/>
      <c r="DD16" s="538"/>
      <c r="DE16" s="538"/>
      <c r="DF16" s="538"/>
      <c r="DG16" s="538"/>
      <c r="DH16" s="538"/>
      <c r="DI16" s="538"/>
      <c r="DJ16" s="538"/>
      <c r="DK16" s="538"/>
      <c r="DL16" s="538"/>
      <c r="DM16" s="538"/>
      <c r="DN16" s="538"/>
      <c r="DO16" s="538"/>
      <c r="DP16" s="538"/>
      <c r="DQ16" s="538"/>
      <c r="DR16" s="538"/>
      <c r="DS16" s="539"/>
      <c r="DT16" s="540"/>
      <c r="DU16" s="531"/>
      <c r="DV16" s="531"/>
      <c r="DW16" s="531"/>
      <c r="DX16" s="531"/>
      <c r="DY16" s="531"/>
      <c r="DZ16" s="532"/>
      <c r="EA16" s="530"/>
      <c r="EB16" s="531"/>
      <c r="EC16" s="531"/>
      <c r="ED16" s="531"/>
      <c r="EE16" s="531"/>
      <c r="EF16" s="531"/>
      <c r="EG16" s="532"/>
      <c r="EH16" s="530"/>
      <c r="EI16" s="531"/>
      <c r="EJ16" s="531"/>
      <c r="EK16" s="531"/>
      <c r="EL16" s="531"/>
      <c r="EM16" s="531"/>
      <c r="EN16" s="533"/>
      <c r="EO16" s="333">
        <f>IF(E16="","",IF(J16&gt;9,HQ16,HO16))</f>
        <v>11</v>
      </c>
      <c r="EP16" s="320"/>
      <c r="EQ16" s="320"/>
      <c r="ER16" s="320"/>
      <c r="ES16" s="314" t="str">
        <f>IF(EO16="","","-")</f>
        <v>-</v>
      </c>
      <c r="ET16" s="314"/>
      <c r="EU16" s="320">
        <f>IF(E16="","",IF(J16&lt;-9,HP16,HR16))</f>
        <v>6</v>
      </c>
      <c r="EV16" s="320"/>
      <c r="EW16" s="320"/>
      <c r="EX16" s="321"/>
      <c r="EY16" s="322">
        <f>IF(F16="","",IF(K16&gt;9,HU16,HS16))</f>
        <v>9</v>
      </c>
      <c r="EZ16" s="320"/>
      <c r="FA16" s="320"/>
      <c r="FB16" s="320"/>
      <c r="FC16" s="323" t="str">
        <f>IF(EY16="","","-")</f>
        <v>-</v>
      </c>
      <c r="FD16" s="323"/>
      <c r="FE16" s="320">
        <f>IF(F16="","",IF(K16&lt;-9,HT16,HV16))</f>
        <v>11</v>
      </c>
      <c r="FF16" s="320"/>
      <c r="FG16" s="320"/>
      <c r="FH16" s="321"/>
      <c r="FI16" s="322">
        <f>IF(G16="","",IF(L16&gt;9,HY16,HW16))</f>
        <v>10</v>
      </c>
      <c r="FJ16" s="320"/>
      <c r="FK16" s="320"/>
      <c r="FL16" s="320"/>
      <c r="FM16" s="323" t="str">
        <f>IF(FI16="","","-")</f>
        <v>-</v>
      </c>
      <c r="FN16" s="323"/>
      <c r="FO16" s="320">
        <f>IF(G16="","",IF(L16&lt;-9,HX16,HZ16))</f>
        <v>12</v>
      </c>
      <c r="FP16" s="320"/>
      <c r="FQ16" s="320"/>
      <c r="FR16" s="321"/>
      <c r="FS16" s="322">
        <f>IF(H16="","",IF(M16&gt;9,IC16,IA16))</f>
        <v>12</v>
      </c>
      <c r="FT16" s="320"/>
      <c r="FU16" s="320"/>
      <c r="FV16" s="320"/>
      <c r="FW16" s="323" t="str">
        <f>IF(FS16="","","-")</f>
        <v>-</v>
      </c>
      <c r="FX16" s="323"/>
      <c r="FY16" s="320">
        <f>IF(H16="","",IF(M16&lt;-9,IB16,ID16))</f>
        <v>10</v>
      </c>
      <c r="FZ16" s="320"/>
      <c r="GA16" s="320"/>
      <c r="GB16" s="321"/>
      <c r="GC16" s="257">
        <f>IF(I16="","",IF(N16&gt;9,IG16,IE16))</f>
        <v>11</v>
      </c>
      <c r="GD16" s="255"/>
      <c r="GE16" s="255"/>
      <c r="GF16" s="255"/>
      <c r="GG16" s="254" t="str">
        <f>IF(GC16="","","-")</f>
        <v>-</v>
      </c>
      <c r="GH16" s="254"/>
      <c r="GI16" s="255">
        <f>IF(I16="","",IF(N16&lt;-9,IF16,IH16))</f>
        <v>5</v>
      </c>
      <c r="GJ16" s="255"/>
      <c r="GK16" s="255"/>
      <c r="GL16" s="302"/>
      <c r="GM16" s="309">
        <f>Y16</f>
        <v>3</v>
      </c>
      <c r="GN16" s="310"/>
      <c r="GO16" s="310"/>
      <c r="GP16" s="310"/>
      <c r="GQ16" s="310"/>
      <c r="GR16" s="310"/>
      <c r="GS16" s="311"/>
      <c r="GT16" s="312">
        <f>Z16</f>
        <v>2</v>
      </c>
      <c r="GU16" s="310"/>
      <c r="GV16" s="310"/>
      <c r="GW16" s="310"/>
      <c r="GX16" s="310"/>
      <c r="GY16" s="310"/>
      <c r="GZ16" s="313"/>
      <c r="HA16" s="315">
        <f>AA16</f>
        <v>1</v>
      </c>
      <c r="HB16" s="316"/>
      <c r="HC16" s="316"/>
      <c r="HD16" s="316"/>
      <c r="HE16" s="316"/>
      <c r="HF16" s="316"/>
      <c r="HG16" s="317"/>
      <c r="HH16" s="318">
        <f>AB16</f>
        <v>0</v>
      </c>
      <c r="HI16" s="316"/>
      <c r="HJ16" s="316"/>
      <c r="HK16" s="316"/>
      <c r="HL16" s="316"/>
      <c r="HM16" s="316"/>
      <c r="HN16" s="319"/>
      <c r="HO16" s="49">
        <f>IF(E16="","",IF(J16=1000,11,IF(J16=-1000,0,IF(J16&gt;0,11,IF(J16&lt;0,(-J16),"0")))))</f>
        <v>11</v>
      </c>
      <c r="HP16" s="50">
        <f>IF(E16="","",IF(J16=1000,0,IF(J16=-1000,11,IF(J16&lt;-9,-(J16-2),IF(J16&gt;0,(GU16),"0")))))</f>
        <v>0</v>
      </c>
      <c r="HQ16" s="51">
        <f>IF(E16="","",IF(J16=1000,11,IF(J16=-1000,0,IF(J16&lt;9,11,IF(J16&gt;9,(J16+2),"0")))))</f>
        <v>11</v>
      </c>
      <c r="HR16" s="52">
        <f>IF(E16="","",IF(J16=1000,0,IF(J16=-1000,11,IF(J16&lt;0,11,IF(J16&gt;0,(J16),"0")))))</f>
        <v>6</v>
      </c>
      <c r="HS16" s="53">
        <f>IF(F16="","",IF(K16=1000,11,IF(K16=-1000,0,IF(K16&gt;0,11,IF(K16&lt;0,(-K16),"0")))))</f>
        <v>9</v>
      </c>
      <c r="HT16" s="53" t="str">
        <f>IF(F16="","",IF(K16=1000,0,IF(K16=-1000,11,IF(K16&lt;-9,-(K16-2),IF(K16&gt;0,(GV16),"0")))))</f>
        <v>0</v>
      </c>
      <c r="HU16" s="54">
        <f>IF(F16="","",IF(K16=1000,11,IF(K16=-1000,0,IF(K16&lt;9,11,IF(K16&gt;9,(K16+2),"0")))))</f>
        <v>11</v>
      </c>
      <c r="HV16" s="54">
        <f>IF(F16="","",IF(K16=1000,0,IF(K16=-1000,11,IF(K16&lt;0,11,IF(K16&gt;0,(K16),"0")))))</f>
        <v>11</v>
      </c>
      <c r="HW16" s="49">
        <f>IF(G16="","",IF(L16=1000,11,IF(L16=-1000,0,IF(L16&gt;0,11,IF(L16&lt;0,(-L16),"0")))))</f>
        <v>10</v>
      </c>
      <c r="HX16" s="50">
        <f>IF(G16="","",IF(L16=1000,0,IF(L16=-1000,11,IF(L16&lt;-9,-(L16-2),IF(L16&gt;0,(GW16),"0")))))</f>
        <v>12</v>
      </c>
      <c r="HY16" s="51">
        <f>IF(G16="","",IF(L16=1000,11,IF(L16=-1000,0,IF(L16&lt;9,11,IF(L16&gt;9,(L16+2),"0")))))</f>
        <v>11</v>
      </c>
      <c r="HZ16" s="52">
        <f>IF(G16="","",IF(L16=1000,0,IF(L16=-1000,11,IF(L16&lt;0,11,IF(L16&gt;0,(L16),"0")))))</f>
        <v>11</v>
      </c>
      <c r="IA16" s="53">
        <f>IF(H16="","",IF(M16=1000,11,IF(M16=-1000,0,IF(M16&gt;0,11,IF(M16&lt;0,(-M16),"0")))))</f>
        <v>11</v>
      </c>
      <c r="IB16" s="53">
        <f>IF(H16="","",IF(G16="","",IF(M16=1000,0,IF(M16=-1000,11,IF(M16&lt;-9,-(M16-2),IF(M16&gt;0,(GX16),"0"))))))</f>
        <v>0</v>
      </c>
      <c r="IC16" s="54">
        <f>IF(H16="","",IF(M16=1000,11,IF(M16=-1000,0,IF(M16&lt;9,11,IF(M16&gt;9,(M16+2),"0")))))</f>
        <v>12</v>
      </c>
      <c r="ID16" s="54">
        <f>IF(H16="","",IF(M16=1000,0,IF(M16=-1000,11,IF(M16&lt;0,11,IF(M16&gt;0,(M16),"0")))))</f>
        <v>10</v>
      </c>
      <c r="IE16" s="49">
        <f>IF(I16="","",IF(N16=1000,11,IF(N16=-1000,0,IF(N16&gt;0,11,IF(N16&lt;0,(-N16),"0")))))</f>
        <v>11</v>
      </c>
      <c r="IF16" s="50">
        <f>IF(I16="","",IF(N16=1000,0,IF(N16=-1000,11,IF(N16&lt;-9,-(N16-2),IF(N16&gt;0,(GY16),"0")))))</f>
        <v>0</v>
      </c>
      <c r="IG16" s="51">
        <f>IF(I16="","",IF(N16=1000,11,IF(N16=-1000,0,IF(N16&lt;9,11,IF(N16&gt;9,(N16+2),"0")))))</f>
        <v>11</v>
      </c>
      <c r="IH16" s="55">
        <f>IF(I16="","",IF(N16=1000,0,IF(N16=-1000,11,IF(N16&lt;0,11,IF(N16&gt;0,(N16),"0")))))</f>
        <v>5</v>
      </c>
      <c r="II16" s="56">
        <f>IF(E16="","",EO16*1)</f>
        <v>11</v>
      </c>
      <c r="IJ16" s="56">
        <f>IF(F16="","",EY16*1)</f>
        <v>9</v>
      </c>
      <c r="IK16" s="56">
        <f>IF(G16="","",FI16*1)</f>
        <v>10</v>
      </c>
      <c r="IL16" s="56">
        <f>IF(H16="","",FS16*1)</f>
        <v>12</v>
      </c>
      <c r="IM16" s="56">
        <f>IF(I16="","",GC16*1)</f>
        <v>11</v>
      </c>
      <c r="IN16" s="57">
        <f>IF(E16="","",EU16*1)</f>
        <v>6</v>
      </c>
      <c r="IO16" s="57">
        <f>IF(F16="","",FE16*1)</f>
        <v>11</v>
      </c>
      <c r="IP16" s="57">
        <f>IF(G16="","",FO16*1)</f>
        <v>12</v>
      </c>
      <c r="IQ16" s="57">
        <f>IF(H16="","",FY16*1)</f>
        <v>10</v>
      </c>
      <c r="IR16" s="57">
        <f>IF(I16="","",GI16*1)</f>
        <v>5</v>
      </c>
      <c r="IS16" s="58">
        <f>IF(E16="","",SUM(II16:IM16))</f>
        <v>53</v>
      </c>
      <c r="IT16" s="58">
        <f>IF(E16="","",SUM(IN16:IR16))</f>
        <v>44</v>
      </c>
    </row>
    <row r="17" spans="1:254" ht="30" customHeight="1" x14ac:dyDescent="0.35">
      <c r="A17" s="39" t="s">
        <v>18</v>
      </c>
      <c r="B17" s="40">
        <v>67</v>
      </c>
      <c r="C17" s="41" t="s">
        <v>34</v>
      </c>
      <c r="D17" s="40">
        <v>83</v>
      </c>
      <c r="E17" s="42" t="s">
        <v>157</v>
      </c>
      <c r="F17" s="42" t="s">
        <v>173</v>
      </c>
      <c r="G17" s="42" t="s">
        <v>157</v>
      </c>
      <c r="H17" s="42" t="s">
        <v>156</v>
      </c>
      <c r="I17" s="42" t="s">
        <v>164</v>
      </c>
      <c r="J17" s="43">
        <f t="shared" ref="J17:N20" si="2">IF(E17="","",IF(E17="0",1000,IF(E17="-0",-1000,E17*1)))</f>
        <v>9</v>
      </c>
      <c r="K17" s="43">
        <f t="shared" si="2"/>
        <v>-4</v>
      </c>
      <c r="L17" s="43">
        <f t="shared" si="2"/>
        <v>9</v>
      </c>
      <c r="M17" s="43">
        <f t="shared" si="2"/>
        <v>-9</v>
      </c>
      <c r="N17" s="43">
        <f t="shared" si="2"/>
        <v>11</v>
      </c>
      <c r="O17" s="44">
        <f>IF(J17="","",IF(J17&gt;0,1,0))</f>
        <v>1</v>
      </c>
      <c r="P17" s="44">
        <f t="shared" si="0"/>
        <v>0</v>
      </c>
      <c r="Q17" s="44">
        <f t="shared" si="0"/>
        <v>1</v>
      </c>
      <c r="R17" s="44">
        <f t="shared" si="0"/>
        <v>0</v>
      </c>
      <c r="S17" s="44">
        <f t="shared" si="0"/>
        <v>1</v>
      </c>
      <c r="T17" s="45">
        <f t="shared" si="1"/>
        <v>0</v>
      </c>
      <c r="U17" s="45">
        <f t="shared" si="1"/>
        <v>1</v>
      </c>
      <c r="V17" s="45">
        <f t="shared" si="1"/>
        <v>0</v>
      </c>
      <c r="W17" s="45">
        <f t="shared" si="1"/>
        <v>1</v>
      </c>
      <c r="X17" s="45">
        <f t="shared" si="1"/>
        <v>0</v>
      </c>
      <c r="Y17" s="46">
        <f>IF(E17="","",SUM(O17:S17))</f>
        <v>3</v>
      </c>
      <c r="Z17" s="46">
        <f>IF(E17="","",SUM(T17:X17))</f>
        <v>2</v>
      </c>
      <c r="AA17" s="47">
        <f>IF(E17="","",IF(Y17&gt;Z17,1,0))</f>
        <v>1</v>
      </c>
      <c r="AB17" s="48">
        <f>IF(E17="","",IF(Y17&lt;Z17,1,0))</f>
        <v>0</v>
      </c>
      <c r="AC17" s="528" t="s">
        <v>18</v>
      </c>
      <c r="AD17" s="471"/>
      <c r="AE17" s="471"/>
      <c r="AF17" s="471"/>
      <c r="AG17" s="472"/>
      <c r="AH17" s="476" t="str">
        <f>IF(B17="","",VLOOKUP(B17,Список!$E:$O,2,FALSE))</f>
        <v xml:space="preserve"> Осипов Владимир Владимирович</v>
      </c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8"/>
      <c r="BN17" s="524"/>
      <c r="BO17" s="525"/>
      <c r="BP17" s="525"/>
      <c r="BQ17" s="525"/>
      <c r="BR17" s="525"/>
      <c r="BS17" s="525"/>
      <c r="BT17" s="526"/>
      <c r="BU17" s="524"/>
      <c r="BV17" s="525"/>
      <c r="BW17" s="525"/>
      <c r="BX17" s="525"/>
      <c r="BY17" s="525"/>
      <c r="BZ17" s="525"/>
      <c r="CA17" s="526"/>
      <c r="CB17" s="524"/>
      <c r="CC17" s="525"/>
      <c r="CD17" s="525"/>
      <c r="CE17" s="525"/>
      <c r="CF17" s="525"/>
      <c r="CG17" s="525"/>
      <c r="CH17" s="527"/>
      <c r="CI17" s="528" t="s">
        <v>34</v>
      </c>
      <c r="CJ17" s="471"/>
      <c r="CK17" s="471"/>
      <c r="CL17" s="471"/>
      <c r="CM17" s="472"/>
      <c r="CN17" s="476" t="str">
        <f>IF(D17="","",VLOOKUP(D17,Список!$E:$N,2,FALSE))</f>
        <v xml:space="preserve"> Лойко Максим Александрович</v>
      </c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8"/>
      <c r="DT17" s="529"/>
      <c r="DU17" s="525"/>
      <c r="DV17" s="525"/>
      <c r="DW17" s="525"/>
      <c r="DX17" s="525"/>
      <c r="DY17" s="525"/>
      <c r="DZ17" s="526"/>
      <c r="EA17" s="524"/>
      <c r="EB17" s="525"/>
      <c r="EC17" s="525"/>
      <c r="ED17" s="525"/>
      <c r="EE17" s="525"/>
      <c r="EF17" s="525"/>
      <c r="EG17" s="526"/>
      <c r="EH17" s="524"/>
      <c r="EI17" s="525"/>
      <c r="EJ17" s="525"/>
      <c r="EK17" s="525"/>
      <c r="EL17" s="525"/>
      <c r="EM17" s="525"/>
      <c r="EN17" s="527"/>
      <c r="EO17" s="301">
        <f>IF(E17="","",IF(J17&gt;9,HQ17,HO17))</f>
        <v>11</v>
      </c>
      <c r="EP17" s="255"/>
      <c r="EQ17" s="255"/>
      <c r="ER17" s="255"/>
      <c r="ES17" s="297" t="str">
        <f>IF(EO17="","","-")</f>
        <v>-</v>
      </c>
      <c r="ET17" s="297"/>
      <c r="EU17" s="255">
        <f>IF(E17="","",IF(J17&lt;-9,HP17,HR17))</f>
        <v>9</v>
      </c>
      <c r="EV17" s="255"/>
      <c r="EW17" s="255"/>
      <c r="EX17" s="256"/>
      <c r="EY17" s="257">
        <f>IF(F17="","",IF(K17&gt;9,HU17,HS17))</f>
        <v>4</v>
      </c>
      <c r="EZ17" s="255"/>
      <c r="FA17" s="255"/>
      <c r="FB17" s="255"/>
      <c r="FC17" s="254" t="str">
        <f>IF(EY17="","","-")</f>
        <v>-</v>
      </c>
      <c r="FD17" s="254"/>
      <c r="FE17" s="255">
        <f>IF(F17="","",IF(K17&lt;-9,HT17,HV17))</f>
        <v>11</v>
      </c>
      <c r="FF17" s="255"/>
      <c r="FG17" s="255"/>
      <c r="FH17" s="256"/>
      <c r="FI17" s="257">
        <f>IF(G17="","",IF(L17&gt;9,HY17,HW17))</f>
        <v>11</v>
      </c>
      <c r="FJ17" s="255"/>
      <c r="FK17" s="255"/>
      <c r="FL17" s="255"/>
      <c r="FM17" s="254" t="str">
        <f>IF(FI17="","","-")</f>
        <v>-</v>
      </c>
      <c r="FN17" s="254"/>
      <c r="FO17" s="255">
        <f>IF(G17="","",IF(L17&lt;-9,HX17,HZ17))</f>
        <v>9</v>
      </c>
      <c r="FP17" s="255"/>
      <c r="FQ17" s="255"/>
      <c r="FR17" s="256"/>
      <c r="FS17" s="257">
        <f>IF(H17="","",IF(M17&gt;9,IC17,IA17))</f>
        <v>9</v>
      </c>
      <c r="FT17" s="255"/>
      <c r="FU17" s="255"/>
      <c r="FV17" s="255"/>
      <c r="FW17" s="254" t="str">
        <f>IF(FS17="","","-")</f>
        <v>-</v>
      </c>
      <c r="FX17" s="254"/>
      <c r="FY17" s="255">
        <f>IF(H17="","",IF(M17&lt;-9,IB17,ID17))</f>
        <v>11</v>
      </c>
      <c r="FZ17" s="255"/>
      <c r="GA17" s="255"/>
      <c r="GB17" s="256"/>
      <c r="GC17" s="257">
        <f>IF(I17="","",IF(N17&gt;9,IG17,IE17))</f>
        <v>13</v>
      </c>
      <c r="GD17" s="255"/>
      <c r="GE17" s="255"/>
      <c r="GF17" s="255"/>
      <c r="GG17" s="254" t="str">
        <f>IF(GC17="","","-")</f>
        <v>-</v>
      </c>
      <c r="GH17" s="254"/>
      <c r="GI17" s="255">
        <f>IF(I17="","",IF(N17&lt;-9,IF17,IH17))</f>
        <v>11</v>
      </c>
      <c r="GJ17" s="255"/>
      <c r="GK17" s="255"/>
      <c r="GL17" s="302"/>
      <c r="GM17" s="303">
        <f>Y17</f>
        <v>3</v>
      </c>
      <c r="GN17" s="247"/>
      <c r="GO17" s="247"/>
      <c r="GP17" s="247"/>
      <c r="GQ17" s="247"/>
      <c r="GR17" s="247"/>
      <c r="GS17" s="304"/>
      <c r="GT17" s="246">
        <f>Z17</f>
        <v>2</v>
      </c>
      <c r="GU17" s="247"/>
      <c r="GV17" s="247"/>
      <c r="GW17" s="247"/>
      <c r="GX17" s="247"/>
      <c r="GY17" s="247"/>
      <c r="GZ17" s="248"/>
      <c r="HA17" s="249">
        <f>AA17</f>
        <v>1</v>
      </c>
      <c r="HB17" s="250"/>
      <c r="HC17" s="250"/>
      <c r="HD17" s="250"/>
      <c r="HE17" s="250"/>
      <c r="HF17" s="250"/>
      <c r="HG17" s="251"/>
      <c r="HH17" s="252">
        <f>AB17</f>
        <v>0</v>
      </c>
      <c r="HI17" s="250"/>
      <c r="HJ17" s="250"/>
      <c r="HK17" s="250"/>
      <c r="HL17" s="250"/>
      <c r="HM17" s="250"/>
      <c r="HN17" s="253"/>
      <c r="HO17" s="49">
        <f>IF(E17="","",IF(J17=1000,11,IF(J17=-1000,0,IF(J17&gt;0,11,IF(J17&lt;0,(-J17),"0")))))</f>
        <v>11</v>
      </c>
      <c r="HP17" s="50">
        <f>IF(E17="","",IF(J17=1000,0,IF(J17=-1000,11,IF(J17&lt;-9,-(J17-2),IF(J17&gt;0,(GU17),"0")))))</f>
        <v>0</v>
      </c>
      <c r="HQ17" s="51" t="str">
        <f>IF(E17="","",IF(J17=1000,11,IF(J17=-1000,0,IF(J17&lt;9,11,IF(J17&gt;9,(J17+2),"0")))))</f>
        <v>0</v>
      </c>
      <c r="HR17" s="52">
        <f>IF(E17="","",IF(J17=1000,0,IF(J17=-1000,11,IF(J17&lt;0,11,IF(J17&gt;0,(J17),"0")))))</f>
        <v>9</v>
      </c>
      <c r="HS17" s="53">
        <f>IF(F17="","",IF(K17=1000,11,IF(K17=-1000,0,IF(K17&gt;0,11,IF(K17&lt;0,(-K17),"0")))))</f>
        <v>4</v>
      </c>
      <c r="HT17" s="53" t="str">
        <f>IF(F17="","",IF(K17=1000,0,IF(K17=-1000,11,IF(K17&lt;-9,-(K17-2),IF(K17&gt;0,(GV17),"0")))))</f>
        <v>0</v>
      </c>
      <c r="HU17" s="54">
        <f>IF(F17="","",IF(K17=1000,11,IF(K17=-1000,0,IF(K17&lt;9,11,IF(K17&gt;9,(K17+2),"0")))))</f>
        <v>11</v>
      </c>
      <c r="HV17" s="54">
        <f>IF(F17="","",IF(K17=1000,0,IF(K17=-1000,11,IF(K17&lt;0,11,IF(K17&gt;0,(K17),"0")))))</f>
        <v>11</v>
      </c>
      <c r="HW17" s="49">
        <f>IF(G17="","",IF(L17=1000,11,IF(L17=-1000,0,IF(L17&gt;0,11,IF(L17&lt;0,(-L17),"0")))))</f>
        <v>11</v>
      </c>
      <c r="HX17" s="50">
        <f>IF(G17="","",IF(L17=1000,0,IF(L17=-1000,11,IF(L17&lt;-9,-(L17-2),IF(L17&gt;0,(GW17),"0")))))</f>
        <v>0</v>
      </c>
      <c r="HY17" s="51" t="str">
        <f>IF(G17="","",IF(L17=1000,11,IF(L17=-1000,0,IF(L17&lt;9,11,IF(L17&gt;9,(L17+2),"0")))))</f>
        <v>0</v>
      </c>
      <c r="HZ17" s="52">
        <f>IF(G17="","",IF(L17=1000,0,IF(L17=-1000,11,IF(L17&lt;0,11,IF(L17&gt;0,(L17),"0")))))</f>
        <v>9</v>
      </c>
      <c r="IA17" s="53">
        <f>IF(H17="","",IF(M17=1000,11,IF(M17=-1000,0,IF(M17&gt;0,11,IF(M17&lt;0,(-M17),"0")))))</f>
        <v>9</v>
      </c>
      <c r="IB17" s="53" t="str">
        <f>IF(H17="","",IF(G17="","",IF(M17=1000,0,IF(M17=-1000,11,IF(M17&lt;-9,-(M17-2),IF(M17&gt;0,(GX17),"0"))))))</f>
        <v>0</v>
      </c>
      <c r="IC17" s="54">
        <f>IF(H17="","",IF(M17=1000,11,IF(M17=-1000,0,IF(M17&lt;9,11,IF(M17&gt;9,(M17+2),"0")))))</f>
        <v>11</v>
      </c>
      <c r="ID17" s="54">
        <f>IF(H17="","",IF(M17=1000,0,IF(M17=-1000,11,IF(M17&lt;0,11,IF(M17&gt;0,(M17),"0")))))</f>
        <v>11</v>
      </c>
      <c r="IE17" s="49">
        <f>IF(I17="","",IF(N17=1000,11,IF(N17=-1000,0,IF(N17&gt;0,11,IF(N17&lt;0,(-N17),"0")))))</f>
        <v>11</v>
      </c>
      <c r="IF17" s="50">
        <f>IF(I17="","",IF(N17=1000,0,IF(N17=-1000,11,IF(N17&lt;-9,-(N17-2),IF(N17&gt;0,(GY17),"0")))))</f>
        <v>0</v>
      </c>
      <c r="IG17" s="51">
        <f>IF(I17="","",IF(N17=1000,11,IF(N17=-1000,0,IF(N17&lt;9,11,IF(N17&gt;9,(N17+2),"0")))))</f>
        <v>13</v>
      </c>
      <c r="IH17" s="55">
        <f>IF(I17="","",IF(N17=1000,0,IF(N17=-1000,11,IF(N17&lt;0,11,IF(N17&gt;0,(N17),"0")))))</f>
        <v>11</v>
      </c>
      <c r="II17" s="56">
        <f>IF(E17="","",EO17*1)</f>
        <v>11</v>
      </c>
      <c r="IJ17" s="56">
        <f>IF(F17="","",EY17*1)</f>
        <v>4</v>
      </c>
      <c r="IK17" s="56">
        <f>IF(G17="","",FI17*1)</f>
        <v>11</v>
      </c>
      <c r="IL17" s="56">
        <f>IF(H17="","",FS17*1)</f>
        <v>9</v>
      </c>
      <c r="IM17" s="56">
        <f>IF(I17="","",GC17*1)</f>
        <v>13</v>
      </c>
      <c r="IN17" s="57">
        <f>IF(E17="","",EU17*1)</f>
        <v>9</v>
      </c>
      <c r="IO17" s="57">
        <f>IF(F17="","",FE17*1)</f>
        <v>11</v>
      </c>
      <c r="IP17" s="57">
        <f>IF(G17="","",FO17*1)</f>
        <v>9</v>
      </c>
      <c r="IQ17" s="57">
        <f>IF(H17="","",FY17*1)</f>
        <v>11</v>
      </c>
      <c r="IR17" s="57">
        <f>IF(I17="","",GI17*1)</f>
        <v>11</v>
      </c>
      <c r="IS17" s="58">
        <f>IF(E17="","",SUM(II17:IM17))</f>
        <v>48</v>
      </c>
      <c r="IT17" s="58">
        <f>IF(E17="","",SUM(IN17:IR17))</f>
        <v>51</v>
      </c>
    </row>
    <row r="18" spans="1:254" ht="30" customHeight="1" x14ac:dyDescent="0.2">
      <c r="A18" s="39" t="s">
        <v>36</v>
      </c>
      <c r="B18" s="40"/>
      <c r="C18" s="41" t="s">
        <v>37</v>
      </c>
      <c r="D18" s="40">
        <v>81</v>
      </c>
      <c r="E18" s="42" t="s">
        <v>170</v>
      </c>
      <c r="F18" s="42" t="s">
        <v>170</v>
      </c>
      <c r="G18" s="42" t="s">
        <v>170</v>
      </c>
      <c r="H18" s="42"/>
      <c r="I18" s="42"/>
      <c r="J18" s="43">
        <f t="shared" si="2"/>
        <v>-1000</v>
      </c>
      <c r="K18" s="43">
        <f t="shared" si="2"/>
        <v>-1000</v>
      </c>
      <c r="L18" s="43">
        <f t="shared" si="2"/>
        <v>-1000</v>
      </c>
      <c r="M18" s="43" t="str">
        <f t="shared" si="2"/>
        <v/>
      </c>
      <c r="N18" s="43" t="str">
        <f t="shared" si="2"/>
        <v/>
      </c>
      <c r="O18" s="44">
        <f>IF(J18="","",IF(J18&gt;0,1,0))</f>
        <v>0</v>
      </c>
      <c r="P18" s="44">
        <f t="shared" si="0"/>
        <v>0</v>
      </c>
      <c r="Q18" s="44">
        <f t="shared" si="0"/>
        <v>0</v>
      </c>
      <c r="R18" s="44" t="str">
        <f t="shared" si="0"/>
        <v/>
      </c>
      <c r="S18" s="44" t="str">
        <f t="shared" si="0"/>
        <v/>
      </c>
      <c r="T18" s="45">
        <f t="shared" si="1"/>
        <v>1</v>
      </c>
      <c r="U18" s="45">
        <f t="shared" si="1"/>
        <v>1</v>
      </c>
      <c r="V18" s="45">
        <f t="shared" si="1"/>
        <v>1</v>
      </c>
      <c r="W18" s="45" t="str">
        <f t="shared" si="1"/>
        <v/>
      </c>
      <c r="X18" s="45" t="str">
        <f t="shared" si="1"/>
        <v/>
      </c>
      <c r="Y18" s="46">
        <f>IF(E18="","",SUM(O18:S18))</f>
        <v>0</v>
      </c>
      <c r="Z18" s="46">
        <f>IF(E18="","",SUM(T18:X18))</f>
        <v>3</v>
      </c>
      <c r="AA18" s="47">
        <f>IF(E18="","",IF(Y18&gt;Z18,1,0))</f>
        <v>0</v>
      </c>
      <c r="AB18" s="48">
        <f>IF(E18="","",IF(Y18&lt;Z18,1,0))</f>
        <v>1</v>
      </c>
      <c r="AC18" s="528" t="s">
        <v>36</v>
      </c>
      <c r="AD18" s="471"/>
      <c r="AE18" s="471"/>
      <c r="AF18" s="471"/>
      <c r="AG18" s="472"/>
      <c r="AH18" s="476" t="str">
        <f>IF(B18="","",VLOOKUP(B18,Список!$E:$O,2,FALSE))</f>
        <v/>
      </c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8"/>
      <c r="BN18" s="524"/>
      <c r="BO18" s="525"/>
      <c r="BP18" s="525"/>
      <c r="BQ18" s="525"/>
      <c r="BR18" s="525"/>
      <c r="BS18" s="525"/>
      <c r="BT18" s="526"/>
      <c r="BU18" s="524"/>
      <c r="BV18" s="525"/>
      <c r="BW18" s="525"/>
      <c r="BX18" s="525"/>
      <c r="BY18" s="525"/>
      <c r="BZ18" s="525"/>
      <c r="CA18" s="526"/>
      <c r="CB18" s="524"/>
      <c r="CC18" s="525"/>
      <c r="CD18" s="525"/>
      <c r="CE18" s="525"/>
      <c r="CF18" s="525"/>
      <c r="CG18" s="525"/>
      <c r="CH18" s="527"/>
      <c r="CI18" s="528" t="s">
        <v>37</v>
      </c>
      <c r="CJ18" s="471"/>
      <c r="CK18" s="471"/>
      <c r="CL18" s="471"/>
      <c r="CM18" s="472"/>
      <c r="CN18" s="476" t="str">
        <f>IF(D18="","",VLOOKUP(D18,Список!$E:$N,2,FALSE))</f>
        <v xml:space="preserve"> Пыльник Данил Александрович</v>
      </c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8"/>
      <c r="DT18" s="524"/>
      <c r="DU18" s="525"/>
      <c r="DV18" s="525"/>
      <c r="DW18" s="525"/>
      <c r="DX18" s="525"/>
      <c r="DY18" s="525"/>
      <c r="DZ18" s="526"/>
      <c r="EA18" s="524"/>
      <c r="EB18" s="525"/>
      <c r="EC18" s="525"/>
      <c r="ED18" s="525"/>
      <c r="EE18" s="525"/>
      <c r="EF18" s="525"/>
      <c r="EG18" s="526"/>
      <c r="EH18" s="524"/>
      <c r="EI18" s="525"/>
      <c r="EJ18" s="525"/>
      <c r="EK18" s="525"/>
      <c r="EL18" s="525"/>
      <c r="EM18" s="525"/>
      <c r="EN18" s="527"/>
      <c r="EO18" s="301">
        <f>IF(E18="","",IF(J18&gt;9,HQ18,HO18))</f>
        <v>0</v>
      </c>
      <c r="EP18" s="255"/>
      <c r="EQ18" s="255"/>
      <c r="ER18" s="255"/>
      <c r="ES18" s="297" t="str">
        <f>IF(EO18="","","-")</f>
        <v>-</v>
      </c>
      <c r="ET18" s="297"/>
      <c r="EU18" s="255">
        <f>IF(E18="","",IF(J18&lt;-9,HP18,HR18))</f>
        <v>11</v>
      </c>
      <c r="EV18" s="255"/>
      <c r="EW18" s="255"/>
      <c r="EX18" s="256"/>
      <c r="EY18" s="257">
        <f>IF(F18="","",IF(K18&gt;9,HU18,HS18))</f>
        <v>0</v>
      </c>
      <c r="EZ18" s="255"/>
      <c r="FA18" s="255"/>
      <c r="FB18" s="255"/>
      <c r="FC18" s="254" t="str">
        <f>IF(EY18="","","-")</f>
        <v>-</v>
      </c>
      <c r="FD18" s="254"/>
      <c r="FE18" s="255">
        <f>IF(F18="","",IF(K18&lt;-9,HT18,HV18))</f>
        <v>11</v>
      </c>
      <c r="FF18" s="255"/>
      <c r="FG18" s="255"/>
      <c r="FH18" s="256"/>
      <c r="FI18" s="257">
        <f>IF(G18="","",IF(L18&gt;9,HY18,HW18))</f>
        <v>0</v>
      </c>
      <c r="FJ18" s="255"/>
      <c r="FK18" s="255"/>
      <c r="FL18" s="255"/>
      <c r="FM18" s="254" t="str">
        <f>IF(FI18="","","-")</f>
        <v>-</v>
      </c>
      <c r="FN18" s="254"/>
      <c r="FO18" s="255">
        <f>IF(G18="","",IF(L18&lt;-9,HX18,HZ18))</f>
        <v>11</v>
      </c>
      <c r="FP18" s="255"/>
      <c r="FQ18" s="255"/>
      <c r="FR18" s="256"/>
      <c r="FS18" s="257" t="str">
        <f>IF(H18="","",IF(M18&gt;9,IC18,IA18))</f>
        <v/>
      </c>
      <c r="FT18" s="255"/>
      <c r="FU18" s="255"/>
      <c r="FV18" s="255"/>
      <c r="FW18" s="254" t="str">
        <f>IF(FS18="","","-")</f>
        <v/>
      </c>
      <c r="FX18" s="254"/>
      <c r="FY18" s="255" t="str">
        <f>IF(H18="","",IF(M18&lt;-9,IB18,ID18))</f>
        <v/>
      </c>
      <c r="FZ18" s="255"/>
      <c r="GA18" s="255"/>
      <c r="GB18" s="256"/>
      <c r="GC18" s="257" t="str">
        <f>IF(I18="","",IF(N18&gt;9,IG18,IE18))</f>
        <v/>
      </c>
      <c r="GD18" s="255"/>
      <c r="GE18" s="255"/>
      <c r="GF18" s="255"/>
      <c r="GG18" s="254" t="str">
        <f>IF(GC18="","","-")</f>
        <v/>
      </c>
      <c r="GH18" s="254"/>
      <c r="GI18" s="255" t="str">
        <f>IF(I18="","",IF(N18&lt;-9,IF18,IH18))</f>
        <v/>
      </c>
      <c r="GJ18" s="255"/>
      <c r="GK18" s="255"/>
      <c r="GL18" s="302"/>
      <c r="GM18" s="303">
        <f>Y18</f>
        <v>0</v>
      </c>
      <c r="GN18" s="247"/>
      <c r="GO18" s="247"/>
      <c r="GP18" s="247"/>
      <c r="GQ18" s="247"/>
      <c r="GR18" s="247"/>
      <c r="GS18" s="304"/>
      <c r="GT18" s="246">
        <f>Z18</f>
        <v>3</v>
      </c>
      <c r="GU18" s="247"/>
      <c r="GV18" s="247"/>
      <c r="GW18" s="247"/>
      <c r="GX18" s="247"/>
      <c r="GY18" s="247"/>
      <c r="GZ18" s="248"/>
      <c r="HA18" s="249">
        <f>AA18</f>
        <v>0</v>
      </c>
      <c r="HB18" s="250"/>
      <c r="HC18" s="250"/>
      <c r="HD18" s="250"/>
      <c r="HE18" s="250"/>
      <c r="HF18" s="250"/>
      <c r="HG18" s="251"/>
      <c r="HH18" s="252">
        <f>AB18</f>
        <v>1</v>
      </c>
      <c r="HI18" s="250"/>
      <c r="HJ18" s="250"/>
      <c r="HK18" s="250"/>
      <c r="HL18" s="250"/>
      <c r="HM18" s="250"/>
      <c r="HN18" s="253"/>
      <c r="HO18" s="49">
        <f>IF(E18="","",IF(J18=1000,11,IF(J18=-1000,0,IF(J18&gt;0,11,IF(J18&lt;0,(-J18),"0")))))</f>
        <v>0</v>
      </c>
      <c r="HP18" s="50">
        <f>IF(E18="","",IF(J18=1000,0,IF(J18=-1000,11,IF(J18&lt;-9,-(J18-2),IF(J18&gt;0,(GU18),"0")))))</f>
        <v>11</v>
      </c>
      <c r="HQ18" s="51">
        <f>IF(E18="","",IF(J18=1000,11,IF(J18=-1000,0,IF(J18&lt;9,11,IF(J18&gt;9,(J18+2),"0")))))</f>
        <v>0</v>
      </c>
      <c r="HR18" s="52">
        <f>IF(E18="","",IF(J18=1000,0,IF(J18=-1000,11,IF(J18&lt;0,11,IF(J18&gt;0,(J18),"0")))))</f>
        <v>11</v>
      </c>
      <c r="HS18" s="53">
        <f>IF(F18="","",IF(K18=1000,11,IF(K18=-1000,0,IF(K18&gt;0,11,IF(K18&lt;0,(-K18),"0")))))</f>
        <v>0</v>
      </c>
      <c r="HT18" s="53">
        <f>IF(F18="","",IF(K18=1000,0,IF(K18=-1000,11,IF(K18&lt;-9,-(K18-2),IF(K18&gt;0,(GV18),"0")))))</f>
        <v>11</v>
      </c>
      <c r="HU18" s="54">
        <f>IF(F18="","",IF(K18=1000,11,IF(K18=-1000,0,IF(K18&lt;9,11,IF(K18&gt;9,(K18+2),"0")))))</f>
        <v>0</v>
      </c>
      <c r="HV18" s="54">
        <f>IF(F18="","",IF(K18=1000,0,IF(K18=-1000,11,IF(K18&lt;0,11,IF(K18&gt;0,(K18),"0")))))</f>
        <v>11</v>
      </c>
      <c r="HW18" s="49">
        <f>IF(G18="","",IF(L18=1000,11,IF(L18=-1000,0,IF(L18&gt;0,11,IF(L18&lt;0,(-L18),"0")))))</f>
        <v>0</v>
      </c>
      <c r="HX18" s="50">
        <f>IF(G18="","",IF(L18=1000,0,IF(L18=-1000,11,IF(L18&lt;-9,-(L18-2),IF(L18&gt;0,(GW18),"0")))))</f>
        <v>11</v>
      </c>
      <c r="HY18" s="51">
        <f>IF(G18="","",IF(L18=1000,11,IF(L18=-1000,0,IF(L18&lt;9,11,IF(L18&gt;9,(L18+2),"0")))))</f>
        <v>0</v>
      </c>
      <c r="HZ18" s="52">
        <f>IF(G18="","",IF(L18=1000,0,IF(L18=-1000,11,IF(L18&lt;0,11,IF(L18&gt;0,(L18),"0")))))</f>
        <v>11</v>
      </c>
      <c r="IA18" s="53" t="str">
        <f>IF(H18="","",IF(M18=1000,11,IF(M18=-1000,0,IF(M18&gt;0,11,IF(M18&lt;0,(-M18),"0")))))</f>
        <v/>
      </c>
      <c r="IB18" s="53" t="str">
        <f>IF(H18="","",IF(G18="","",IF(M18=1000,0,IF(M18=-1000,11,IF(M18&lt;-9,-(M18-2),IF(M18&gt;0,(GX18),"0"))))))</f>
        <v/>
      </c>
      <c r="IC18" s="54" t="str">
        <f>IF(H18="","",IF(M18=1000,11,IF(M18=-1000,0,IF(M18&lt;9,11,IF(M18&gt;9,(M18+2),"0")))))</f>
        <v/>
      </c>
      <c r="ID18" s="54" t="str">
        <f>IF(H18="","",IF(M18=1000,0,IF(M18=-1000,11,IF(M18&lt;0,11,IF(M18&gt;0,(M18),"0")))))</f>
        <v/>
      </c>
      <c r="IE18" s="49" t="str">
        <f>IF(I18="","",IF(N18=1000,11,IF(N18=-1000,0,IF(N18&gt;0,11,IF(N18&lt;0,(-N18),"0")))))</f>
        <v/>
      </c>
      <c r="IF18" s="50" t="str">
        <f>IF(I18="","",IF(N18=1000,0,IF(N18=-1000,11,IF(N18&lt;-9,-(N18-2),IF(N18&gt;0,(GY18),"0")))))</f>
        <v/>
      </c>
      <c r="IG18" s="51" t="str">
        <f>IF(I18="","",IF(N18=1000,11,IF(N18=-1000,0,IF(N18&lt;9,11,IF(N18&gt;9,(N18+2),"0")))))</f>
        <v/>
      </c>
      <c r="IH18" s="55" t="str">
        <f>IF(I18="","",IF(N18=1000,0,IF(N18=-1000,11,IF(N18&lt;0,11,IF(N18&gt;0,(N18),"0")))))</f>
        <v/>
      </c>
      <c r="II18" s="56">
        <f>IF(E18="","",EO18*1)</f>
        <v>0</v>
      </c>
      <c r="IJ18" s="56">
        <f>IF(F18="","",EY18*1)</f>
        <v>0</v>
      </c>
      <c r="IK18" s="56">
        <f>IF(G18="","",FI18*1)</f>
        <v>0</v>
      </c>
      <c r="IL18" s="56" t="str">
        <f>IF(H18="","",FS18*1)</f>
        <v/>
      </c>
      <c r="IM18" s="56" t="str">
        <f>IF(I18="","",GC18*1)</f>
        <v/>
      </c>
      <c r="IN18" s="57">
        <f>IF(E18="","",EU18*1)</f>
        <v>11</v>
      </c>
      <c r="IO18" s="57">
        <f>IF(F18="","",FE18*1)</f>
        <v>11</v>
      </c>
      <c r="IP18" s="57">
        <f>IF(G18="","",FO18*1)</f>
        <v>11</v>
      </c>
      <c r="IQ18" s="57" t="str">
        <f>IF(H18="","",FY18*1)</f>
        <v/>
      </c>
      <c r="IR18" s="57" t="str">
        <f>IF(I18="","",GI18*1)</f>
        <v/>
      </c>
      <c r="IS18" s="58">
        <f>IF(E18="","",SUM(II18:IM18))</f>
        <v>0</v>
      </c>
      <c r="IT18" s="58">
        <f>IF(E18="","",SUM(IN18:IR18))</f>
        <v>33</v>
      </c>
    </row>
    <row r="19" spans="1:254" ht="30" customHeight="1" x14ac:dyDescent="0.2">
      <c r="A19" s="39" t="s">
        <v>17</v>
      </c>
      <c r="B19" s="59">
        <f>IF(B16=0,"",B16)</f>
        <v>66</v>
      </c>
      <c r="C19" s="41" t="s">
        <v>34</v>
      </c>
      <c r="D19" s="59">
        <f>IF(D17=0,"",D17)</f>
        <v>83</v>
      </c>
      <c r="E19" s="42" t="s">
        <v>157</v>
      </c>
      <c r="F19" s="42" t="s">
        <v>166</v>
      </c>
      <c r="G19" s="42" t="s">
        <v>152</v>
      </c>
      <c r="H19" s="42" t="s">
        <v>156</v>
      </c>
      <c r="I19" s="42" t="s">
        <v>155</v>
      </c>
      <c r="J19" s="43">
        <f t="shared" si="2"/>
        <v>9</v>
      </c>
      <c r="K19" s="43">
        <f t="shared" si="2"/>
        <v>8</v>
      </c>
      <c r="L19" s="43">
        <f t="shared" si="2"/>
        <v>-7</v>
      </c>
      <c r="M19" s="43">
        <f t="shared" si="2"/>
        <v>-9</v>
      </c>
      <c r="N19" s="43">
        <f t="shared" si="2"/>
        <v>5</v>
      </c>
      <c r="O19" s="44">
        <f>IF(J19="","",IF(J19&gt;0,1,0))</f>
        <v>1</v>
      </c>
      <c r="P19" s="44">
        <f t="shared" si="0"/>
        <v>1</v>
      </c>
      <c r="Q19" s="44">
        <f t="shared" si="0"/>
        <v>0</v>
      </c>
      <c r="R19" s="44">
        <f t="shared" si="0"/>
        <v>0</v>
      </c>
      <c r="S19" s="44">
        <f t="shared" si="0"/>
        <v>1</v>
      </c>
      <c r="T19" s="45">
        <f t="shared" si="1"/>
        <v>0</v>
      </c>
      <c r="U19" s="45">
        <f t="shared" si="1"/>
        <v>0</v>
      </c>
      <c r="V19" s="45">
        <f t="shared" si="1"/>
        <v>1</v>
      </c>
      <c r="W19" s="45">
        <f t="shared" si="1"/>
        <v>1</v>
      </c>
      <c r="X19" s="45">
        <f t="shared" si="1"/>
        <v>0</v>
      </c>
      <c r="Y19" s="46">
        <f>IF(E19="","",SUM(O19:S19))</f>
        <v>3</v>
      </c>
      <c r="Z19" s="46">
        <f>IF(E19="","",SUM(T19:X19))</f>
        <v>2</v>
      </c>
      <c r="AA19" s="47">
        <f>IF(E19="","",IF(Y19&gt;Z19,1,0))</f>
        <v>1</v>
      </c>
      <c r="AB19" s="48">
        <f>IF(E19="","",IF(Y19&lt;Z19,1,0))</f>
        <v>0</v>
      </c>
      <c r="AC19" s="528" t="s">
        <v>17</v>
      </c>
      <c r="AD19" s="471"/>
      <c r="AE19" s="471"/>
      <c r="AF19" s="471"/>
      <c r="AG19" s="472"/>
      <c r="AH19" s="476" t="str">
        <f>IF(B19="","",VLOOKUP(B19,Список!$E:$O,2,FALSE))</f>
        <v xml:space="preserve"> Горелкин Анатолий Николаевич</v>
      </c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8"/>
      <c r="BN19" s="524"/>
      <c r="BO19" s="525"/>
      <c r="BP19" s="525"/>
      <c r="BQ19" s="525"/>
      <c r="BR19" s="525"/>
      <c r="BS19" s="525"/>
      <c r="BT19" s="526"/>
      <c r="BU19" s="524"/>
      <c r="BV19" s="525"/>
      <c r="BW19" s="525"/>
      <c r="BX19" s="525"/>
      <c r="BY19" s="525"/>
      <c r="BZ19" s="525"/>
      <c r="CA19" s="526"/>
      <c r="CB19" s="524"/>
      <c r="CC19" s="525"/>
      <c r="CD19" s="525"/>
      <c r="CE19" s="525"/>
      <c r="CF19" s="525"/>
      <c r="CG19" s="525"/>
      <c r="CH19" s="527"/>
      <c r="CI19" s="528" t="s">
        <v>34</v>
      </c>
      <c r="CJ19" s="471"/>
      <c r="CK19" s="471"/>
      <c r="CL19" s="471"/>
      <c r="CM19" s="472"/>
      <c r="CN19" s="476" t="str">
        <f>IF(D19="","",VLOOKUP(D19,Список!$E:$N,2,FALSE))</f>
        <v xml:space="preserve"> Лойко Максим Александрович</v>
      </c>
      <c r="CO19" s="477"/>
      <c r="CP19" s="477"/>
      <c r="CQ19" s="477"/>
      <c r="CR19" s="477"/>
      <c r="CS19" s="477"/>
      <c r="CT19" s="477"/>
      <c r="CU19" s="477"/>
      <c r="CV19" s="477"/>
      <c r="CW19" s="477"/>
      <c r="CX19" s="477"/>
      <c r="CY19" s="477"/>
      <c r="CZ19" s="477"/>
      <c r="DA19" s="477"/>
      <c r="DB19" s="477"/>
      <c r="DC19" s="477"/>
      <c r="DD19" s="477"/>
      <c r="DE19" s="477"/>
      <c r="DF19" s="477"/>
      <c r="DG19" s="477"/>
      <c r="DH19" s="477"/>
      <c r="DI19" s="477"/>
      <c r="DJ19" s="477"/>
      <c r="DK19" s="477"/>
      <c r="DL19" s="477"/>
      <c r="DM19" s="477"/>
      <c r="DN19" s="477"/>
      <c r="DO19" s="477"/>
      <c r="DP19" s="477"/>
      <c r="DQ19" s="477"/>
      <c r="DR19" s="477"/>
      <c r="DS19" s="478"/>
      <c r="DT19" s="524"/>
      <c r="DU19" s="525"/>
      <c r="DV19" s="525"/>
      <c r="DW19" s="525"/>
      <c r="DX19" s="525"/>
      <c r="DY19" s="525"/>
      <c r="DZ19" s="526"/>
      <c r="EA19" s="524"/>
      <c r="EB19" s="525"/>
      <c r="EC19" s="525"/>
      <c r="ED19" s="525"/>
      <c r="EE19" s="525"/>
      <c r="EF19" s="525"/>
      <c r="EG19" s="526"/>
      <c r="EH19" s="524"/>
      <c r="EI19" s="525"/>
      <c r="EJ19" s="525"/>
      <c r="EK19" s="525"/>
      <c r="EL19" s="525"/>
      <c r="EM19" s="525"/>
      <c r="EN19" s="527"/>
      <c r="EO19" s="301">
        <f>IF(E19="","",IF(J19&gt;9,HQ19,HO19))</f>
        <v>11</v>
      </c>
      <c r="EP19" s="255"/>
      <c r="EQ19" s="255"/>
      <c r="ER19" s="255"/>
      <c r="ES19" s="297" t="str">
        <f>IF(EO19="","","-")</f>
        <v>-</v>
      </c>
      <c r="ET19" s="297"/>
      <c r="EU19" s="255">
        <f>IF(E19="","",IF(J19&lt;-9,HP19,HR19))</f>
        <v>9</v>
      </c>
      <c r="EV19" s="255"/>
      <c r="EW19" s="255"/>
      <c r="EX19" s="256"/>
      <c r="EY19" s="257">
        <f>IF(F19="","",IF(K19&gt;9,HU19,HS19))</f>
        <v>11</v>
      </c>
      <c r="EZ19" s="255"/>
      <c r="FA19" s="255"/>
      <c r="FB19" s="255"/>
      <c r="FC19" s="254" t="str">
        <f>IF(EY19="","","-")</f>
        <v>-</v>
      </c>
      <c r="FD19" s="254"/>
      <c r="FE19" s="255">
        <f>IF(F19="","",IF(K19&lt;-9,HT19,HV19))</f>
        <v>8</v>
      </c>
      <c r="FF19" s="255"/>
      <c r="FG19" s="255"/>
      <c r="FH19" s="256"/>
      <c r="FI19" s="257">
        <f>IF(G19="","",IF(L19&gt;9,HY19,HW19))</f>
        <v>7</v>
      </c>
      <c r="FJ19" s="255"/>
      <c r="FK19" s="255"/>
      <c r="FL19" s="255"/>
      <c r="FM19" s="254" t="str">
        <f>IF(FI19="","","-")</f>
        <v>-</v>
      </c>
      <c r="FN19" s="254"/>
      <c r="FO19" s="255">
        <f>IF(G19="","",IF(L19&lt;-9,HX19,HZ19))</f>
        <v>11</v>
      </c>
      <c r="FP19" s="255"/>
      <c r="FQ19" s="255"/>
      <c r="FR19" s="256"/>
      <c r="FS19" s="257">
        <f>IF(H19="","",IF(M19&gt;9,IC19,IA19))</f>
        <v>9</v>
      </c>
      <c r="FT19" s="255"/>
      <c r="FU19" s="255"/>
      <c r="FV19" s="255"/>
      <c r="FW19" s="254" t="str">
        <f>IF(FS19="","","-")</f>
        <v>-</v>
      </c>
      <c r="FX19" s="254"/>
      <c r="FY19" s="255">
        <f>IF(H19="","",IF(M19&lt;-9,IB19,ID19))</f>
        <v>11</v>
      </c>
      <c r="FZ19" s="255"/>
      <c r="GA19" s="255"/>
      <c r="GB19" s="256"/>
      <c r="GC19" s="257">
        <f>IF(I19="","",IF(N19&gt;9,IG19,IE19))</f>
        <v>11</v>
      </c>
      <c r="GD19" s="255"/>
      <c r="GE19" s="255"/>
      <c r="GF19" s="255"/>
      <c r="GG19" s="254" t="str">
        <f>IF(GC19="","","-")</f>
        <v>-</v>
      </c>
      <c r="GH19" s="254"/>
      <c r="GI19" s="255">
        <f>IF(I19="","",IF(N19&lt;-9,IF19,IH19))</f>
        <v>5</v>
      </c>
      <c r="GJ19" s="255"/>
      <c r="GK19" s="255"/>
      <c r="GL19" s="302"/>
      <c r="GM19" s="303">
        <f>Y19</f>
        <v>3</v>
      </c>
      <c r="GN19" s="247"/>
      <c r="GO19" s="247"/>
      <c r="GP19" s="247"/>
      <c r="GQ19" s="247"/>
      <c r="GR19" s="247"/>
      <c r="GS19" s="304"/>
      <c r="GT19" s="246">
        <f>Z19</f>
        <v>2</v>
      </c>
      <c r="GU19" s="247"/>
      <c r="GV19" s="247"/>
      <c r="GW19" s="247"/>
      <c r="GX19" s="247"/>
      <c r="GY19" s="247"/>
      <c r="GZ19" s="248"/>
      <c r="HA19" s="249">
        <f>AA19</f>
        <v>1</v>
      </c>
      <c r="HB19" s="250"/>
      <c r="HC19" s="250"/>
      <c r="HD19" s="250"/>
      <c r="HE19" s="250"/>
      <c r="HF19" s="250"/>
      <c r="HG19" s="251"/>
      <c r="HH19" s="252">
        <f>AB19</f>
        <v>0</v>
      </c>
      <c r="HI19" s="250"/>
      <c r="HJ19" s="250"/>
      <c r="HK19" s="250"/>
      <c r="HL19" s="250"/>
      <c r="HM19" s="250"/>
      <c r="HN19" s="253"/>
      <c r="HO19" s="49">
        <f>IF(E19="","",IF(J19=1000,11,IF(J19=-1000,0,IF(J19&gt;0,11,IF(J19&lt;0,(-J19),"0")))))</f>
        <v>11</v>
      </c>
      <c r="HP19" s="50">
        <f>IF(E19="","",IF(J19=1000,0,IF(J19=-1000,11,IF(J19&lt;-9,-(J19-2),IF(J19&gt;0,(GU19),"0")))))</f>
        <v>0</v>
      </c>
      <c r="HQ19" s="51" t="str">
        <f>IF(E19="","",IF(J19=1000,11,IF(J19=-1000,0,IF(J19&lt;9,11,IF(J19&gt;9,(J19+2),"0")))))</f>
        <v>0</v>
      </c>
      <c r="HR19" s="52">
        <f>IF(E19="","",IF(J19=1000,0,IF(J19=-1000,11,IF(J19&lt;0,11,IF(J19&gt;0,(J19),"0")))))</f>
        <v>9</v>
      </c>
      <c r="HS19" s="53">
        <f>IF(F19="","",IF(K19=1000,11,IF(K19=-1000,0,IF(K19&gt;0,11,IF(K19&lt;0,(-K19),"0")))))</f>
        <v>11</v>
      </c>
      <c r="HT19" s="53">
        <f>IF(F19="","",IF(K19=1000,0,IF(K19=-1000,11,IF(K19&lt;-9,-(K19-2),IF(K19&gt;0,(GV19),"0")))))</f>
        <v>0</v>
      </c>
      <c r="HU19" s="54">
        <f>IF(F19="","",IF(K19=1000,11,IF(K19=-1000,0,IF(K19&lt;9,11,IF(K19&gt;9,(K19+2),"0")))))</f>
        <v>11</v>
      </c>
      <c r="HV19" s="54">
        <f>IF(F19="","",IF(K19=1000,0,IF(K19=-1000,11,IF(K19&lt;0,11,IF(K19&gt;0,(K19),"0")))))</f>
        <v>8</v>
      </c>
      <c r="HW19" s="49">
        <f>IF(G19="","",IF(L19=1000,11,IF(L19=-1000,0,IF(L19&gt;0,11,IF(L19&lt;0,(-L19),"0")))))</f>
        <v>7</v>
      </c>
      <c r="HX19" s="50" t="str">
        <f>IF(G19="","",IF(L19=1000,0,IF(L19=-1000,11,IF(L19&lt;-9,-(L19-2),IF(L19&gt;0,(GW19),"0")))))</f>
        <v>0</v>
      </c>
      <c r="HY19" s="51">
        <f>IF(G19="","",IF(L19=1000,11,IF(L19=-1000,0,IF(L19&lt;9,11,IF(L19&gt;9,(L19+2),"0")))))</f>
        <v>11</v>
      </c>
      <c r="HZ19" s="52">
        <f>IF(G19="","",IF(L19=1000,0,IF(L19=-1000,11,IF(L19&lt;0,11,IF(L19&gt;0,(L19),"0")))))</f>
        <v>11</v>
      </c>
      <c r="IA19" s="53">
        <f>IF(H19="","",IF(M19=1000,11,IF(M19=-1000,0,IF(M19&gt;0,11,IF(M19&lt;0,(-M19),"0")))))</f>
        <v>9</v>
      </c>
      <c r="IB19" s="53" t="str">
        <f>IF(H19="","",IF(G19="","",IF(M19=1000,0,IF(M19=-1000,11,IF(M19&lt;-9,-(M19-2),IF(M19&gt;0,(GX19),"0"))))))</f>
        <v>0</v>
      </c>
      <c r="IC19" s="54">
        <f>IF(H19="","",IF(M19=1000,11,IF(M19=-1000,0,IF(M19&lt;9,11,IF(M19&gt;9,(M19+2),"0")))))</f>
        <v>11</v>
      </c>
      <c r="ID19" s="54">
        <f>IF(H19="","",IF(M19=1000,0,IF(M19=-1000,11,IF(M19&lt;0,11,IF(M19&gt;0,(M19),"0")))))</f>
        <v>11</v>
      </c>
      <c r="IE19" s="49">
        <f>IF(I19="","",IF(N19=1000,11,IF(N19=-1000,0,IF(N19&gt;0,11,IF(N19&lt;0,(-N19),"0")))))</f>
        <v>11</v>
      </c>
      <c r="IF19" s="50">
        <f>IF(I19="","",IF(N19=1000,0,IF(N19=-1000,11,IF(N19&lt;-9,-(N19-2),IF(N19&gt;0,(GY19),"0")))))</f>
        <v>0</v>
      </c>
      <c r="IG19" s="51">
        <f>IF(I19="","",IF(N19=1000,11,IF(N19=-1000,0,IF(N19&lt;9,11,IF(N19&gt;9,(N19+2),"0")))))</f>
        <v>11</v>
      </c>
      <c r="IH19" s="55">
        <f>IF(I19="","",IF(N19=1000,0,IF(N19=-1000,11,IF(N19&lt;0,11,IF(N19&gt;0,(N19),"0")))))</f>
        <v>5</v>
      </c>
      <c r="II19" s="56">
        <f>IF(E19="","",EO19*1)</f>
        <v>11</v>
      </c>
      <c r="IJ19" s="56">
        <f>IF(F19="","",EY19*1)</f>
        <v>11</v>
      </c>
      <c r="IK19" s="56">
        <f>IF(G19="","",FI19*1)</f>
        <v>7</v>
      </c>
      <c r="IL19" s="56">
        <f>IF(H19="","",FS19*1)</f>
        <v>9</v>
      </c>
      <c r="IM19" s="56">
        <f>IF(I19="","",GC19*1)</f>
        <v>11</v>
      </c>
      <c r="IN19" s="57">
        <f>IF(E19="","",EU19*1)</f>
        <v>9</v>
      </c>
      <c r="IO19" s="57">
        <f>IF(F19="","",FE19*1)</f>
        <v>8</v>
      </c>
      <c r="IP19" s="57">
        <f>IF(G19="","",FO19*1)</f>
        <v>11</v>
      </c>
      <c r="IQ19" s="57">
        <f>IF(H19="","",FY19*1)</f>
        <v>11</v>
      </c>
      <c r="IR19" s="57">
        <f>IF(I19="","",GI19*1)</f>
        <v>5</v>
      </c>
      <c r="IS19" s="58">
        <f>IF(E19="","",SUM(II19:IM19))</f>
        <v>49</v>
      </c>
      <c r="IT19" s="58">
        <f>IF(E19="","",SUM(IN19:IR19))</f>
        <v>44</v>
      </c>
    </row>
    <row r="20" spans="1:254" ht="30" customHeight="1" thickBot="1" x14ac:dyDescent="0.4">
      <c r="A20" s="39" t="s">
        <v>18</v>
      </c>
      <c r="B20" s="59">
        <f>IF(B17=0,"",B17)</f>
        <v>67</v>
      </c>
      <c r="C20" s="41" t="s">
        <v>35</v>
      </c>
      <c r="D20" s="59">
        <f>IF(D16=0,"",D16)</f>
        <v>82</v>
      </c>
      <c r="E20" s="42"/>
      <c r="F20" s="42"/>
      <c r="G20" s="42"/>
      <c r="H20" s="42"/>
      <c r="I20" s="42"/>
      <c r="J20" s="43" t="str">
        <f t="shared" si="2"/>
        <v/>
      </c>
      <c r="K20" s="43" t="str">
        <f t="shared" si="2"/>
        <v/>
      </c>
      <c r="L20" s="43" t="str">
        <f t="shared" si="2"/>
        <v/>
      </c>
      <c r="M20" s="43" t="str">
        <f t="shared" si="2"/>
        <v/>
      </c>
      <c r="N20" s="43" t="str">
        <f t="shared" si="2"/>
        <v/>
      </c>
      <c r="O20" s="44" t="str">
        <f>IF(J20="","",IF(J20&gt;0,1,0))</f>
        <v/>
      </c>
      <c r="P20" s="44" t="str">
        <f t="shared" si="0"/>
        <v/>
      </c>
      <c r="Q20" s="44" t="str">
        <f t="shared" si="0"/>
        <v/>
      </c>
      <c r="R20" s="44" t="str">
        <f t="shared" si="0"/>
        <v/>
      </c>
      <c r="S20" s="44" t="str">
        <f t="shared" si="0"/>
        <v/>
      </c>
      <c r="T20" s="45" t="str">
        <f t="shared" si="1"/>
        <v/>
      </c>
      <c r="U20" s="45" t="str">
        <f t="shared" si="1"/>
        <v/>
      </c>
      <c r="V20" s="45" t="str">
        <f t="shared" si="1"/>
        <v/>
      </c>
      <c r="W20" s="45" t="str">
        <f t="shared" si="1"/>
        <v/>
      </c>
      <c r="X20" s="45" t="str">
        <f t="shared" si="1"/>
        <v/>
      </c>
      <c r="Y20" s="46" t="str">
        <f>IF(E20="","",SUM(O20:S20))</f>
        <v/>
      </c>
      <c r="Z20" s="46" t="str">
        <f>IF(E20="","",SUM(T20:X20))</f>
        <v/>
      </c>
      <c r="AA20" s="47" t="str">
        <f>IF(E20="","",IF(Y20&gt;Z20,1,0))</f>
        <v/>
      </c>
      <c r="AB20" s="48" t="str">
        <f>IF(E20="","",IF(Y20&lt;Z20,1,0))</f>
        <v/>
      </c>
      <c r="AC20" s="513" t="s">
        <v>18</v>
      </c>
      <c r="AD20" s="514"/>
      <c r="AE20" s="514"/>
      <c r="AF20" s="514"/>
      <c r="AG20" s="515"/>
      <c r="AH20" s="516" t="str">
        <f>IF(B20="","",VLOOKUP(B20,Список!$E:$O,2,FALSE))</f>
        <v xml:space="preserve"> Осипов Владимир Владимирович</v>
      </c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  <c r="BK20" s="517"/>
      <c r="BL20" s="517"/>
      <c r="BM20" s="518"/>
      <c r="BN20" s="519"/>
      <c r="BO20" s="520"/>
      <c r="BP20" s="520"/>
      <c r="BQ20" s="520"/>
      <c r="BR20" s="520"/>
      <c r="BS20" s="520"/>
      <c r="BT20" s="521"/>
      <c r="BU20" s="519"/>
      <c r="BV20" s="520"/>
      <c r="BW20" s="520"/>
      <c r="BX20" s="520"/>
      <c r="BY20" s="520"/>
      <c r="BZ20" s="520"/>
      <c r="CA20" s="521"/>
      <c r="CB20" s="519"/>
      <c r="CC20" s="520"/>
      <c r="CD20" s="520"/>
      <c r="CE20" s="520"/>
      <c r="CF20" s="520"/>
      <c r="CG20" s="520"/>
      <c r="CH20" s="523"/>
      <c r="CI20" s="513" t="s">
        <v>35</v>
      </c>
      <c r="CJ20" s="514"/>
      <c r="CK20" s="514"/>
      <c r="CL20" s="514"/>
      <c r="CM20" s="515"/>
      <c r="CN20" s="516" t="str">
        <f>IF(D20="","",VLOOKUP(D20,Список!$E:$N,2,FALSE))</f>
        <v xml:space="preserve"> Орбакас Антон Эдуардесович</v>
      </c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8"/>
      <c r="DT20" s="519"/>
      <c r="DU20" s="520"/>
      <c r="DV20" s="520"/>
      <c r="DW20" s="520"/>
      <c r="DX20" s="520"/>
      <c r="DY20" s="520"/>
      <c r="DZ20" s="521"/>
      <c r="EA20" s="522"/>
      <c r="EB20" s="520"/>
      <c r="EC20" s="520"/>
      <c r="ED20" s="520"/>
      <c r="EE20" s="520"/>
      <c r="EF20" s="520"/>
      <c r="EG20" s="521"/>
      <c r="EH20" s="519"/>
      <c r="EI20" s="520"/>
      <c r="EJ20" s="520"/>
      <c r="EK20" s="520"/>
      <c r="EL20" s="520"/>
      <c r="EM20" s="520"/>
      <c r="EN20" s="523"/>
      <c r="EO20" s="244" t="str">
        <f>IF(E20="","",IF(J20&gt;9,HQ20,HO20))</f>
        <v/>
      </c>
      <c r="EP20" s="233"/>
      <c r="EQ20" s="233"/>
      <c r="ER20" s="233"/>
      <c r="ES20" s="245" t="str">
        <f>IF(EO20="","","-")</f>
        <v/>
      </c>
      <c r="ET20" s="245"/>
      <c r="EU20" s="233" t="str">
        <f>IF(E20="","",IF(J20&lt;-9,HP20,HR20))</f>
        <v/>
      </c>
      <c r="EV20" s="233"/>
      <c r="EW20" s="233"/>
      <c r="EX20" s="243"/>
      <c r="EY20" s="232" t="str">
        <f>IF(F20="","",IF(K20&gt;9,HU20,HS20))</f>
        <v/>
      </c>
      <c r="EZ20" s="233"/>
      <c r="FA20" s="233"/>
      <c r="FB20" s="233"/>
      <c r="FC20" s="234" t="str">
        <f>IF(EY20="","","-")</f>
        <v/>
      </c>
      <c r="FD20" s="234"/>
      <c r="FE20" s="233" t="str">
        <f>IF(F20="","",IF(K20&lt;-9,HT20,HV20))</f>
        <v/>
      </c>
      <c r="FF20" s="233"/>
      <c r="FG20" s="233"/>
      <c r="FH20" s="243"/>
      <c r="FI20" s="232" t="str">
        <f>IF(G20="","",IF(L20&gt;9,HY20,HW20))</f>
        <v/>
      </c>
      <c r="FJ20" s="233"/>
      <c r="FK20" s="233"/>
      <c r="FL20" s="233"/>
      <c r="FM20" s="234" t="str">
        <f>IF(FI20="","","-")</f>
        <v/>
      </c>
      <c r="FN20" s="234"/>
      <c r="FO20" s="233" t="str">
        <f>IF(G20="","",IF(L20&lt;-9,HX20,HZ20))</f>
        <v/>
      </c>
      <c r="FP20" s="233"/>
      <c r="FQ20" s="233"/>
      <c r="FR20" s="243"/>
      <c r="FS20" s="232" t="str">
        <f>IF(H20="","",IF(M20&gt;9,IC20,IA20))</f>
        <v/>
      </c>
      <c r="FT20" s="233"/>
      <c r="FU20" s="233"/>
      <c r="FV20" s="233"/>
      <c r="FW20" s="234" t="str">
        <f>IF(FS20="","","-")</f>
        <v/>
      </c>
      <c r="FX20" s="234"/>
      <c r="FY20" s="233" t="str">
        <f>IF(H20="","",IF(M20&lt;-9,IB20,ID20))</f>
        <v/>
      </c>
      <c r="FZ20" s="233"/>
      <c r="GA20" s="233"/>
      <c r="GB20" s="243"/>
      <c r="GC20" s="232" t="str">
        <f>IF(I20="","",IF(N20&gt;9,IG20,IE20))</f>
        <v/>
      </c>
      <c r="GD20" s="233"/>
      <c r="GE20" s="233"/>
      <c r="GF20" s="233"/>
      <c r="GG20" s="234" t="str">
        <f>IF(GC20="","","-")</f>
        <v/>
      </c>
      <c r="GH20" s="234"/>
      <c r="GI20" s="233" t="str">
        <f>IF(I20="","",IF(N20&lt;-9,IF20,IH20))</f>
        <v/>
      </c>
      <c r="GJ20" s="233"/>
      <c r="GK20" s="233"/>
      <c r="GL20" s="235"/>
      <c r="GM20" s="236" t="str">
        <f>Y20</f>
        <v/>
      </c>
      <c r="GN20" s="237"/>
      <c r="GO20" s="237"/>
      <c r="GP20" s="237"/>
      <c r="GQ20" s="237"/>
      <c r="GR20" s="237"/>
      <c r="GS20" s="238"/>
      <c r="GT20" s="239" t="str">
        <f>Z20</f>
        <v/>
      </c>
      <c r="GU20" s="237"/>
      <c r="GV20" s="237"/>
      <c r="GW20" s="237"/>
      <c r="GX20" s="237"/>
      <c r="GY20" s="237"/>
      <c r="GZ20" s="240"/>
      <c r="HA20" s="241" t="str">
        <f>AA20</f>
        <v/>
      </c>
      <c r="HB20" s="217"/>
      <c r="HC20" s="217"/>
      <c r="HD20" s="217"/>
      <c r="HE20" s="217"/>
      <c r="HF20" s="217"/>
      <c r="HG20" s="242"/>
      <c r="HH20" s="216" t="str">
        <f>AB20</f>
        <v/>
      </c>
      <c r="HI20" s="217"/>
      <c r="HJ20" s="217"/>
      <c r="HK20" s="217"/>
      <c r="HL20" s="217"/>
      <c r="HM20" s="217"/>
      <c r="HN20" s="218"/>
      <c r="HO20" s="49" t="str">
        <f>IF(E20="","",IF(J20=1000,11,IF(J20=-1000,0,IF(J20&gt;0,11,IF(J20&lt;0,(-J20),"0")))))</f>
        <v/>
      </c>
      <c r="HP20" s="50" t="str">
        <f>IF(E20="","",IF(J20=1000,0,IF(J20=-1000,11,IF(J20&lt;-9,-(J20-2),IF(J20&gt;0,(GU20),"0")))))</f>
        <v/>
      </c>
      <c r="HQ20" s="51" t="str">
        <f>IF(E20="","",IF(J20=1000,11,IF(J20=-1000,0,IF(J20&lt;9,11,IF(J20&gt;9,(J20+2),"0")))))</f>
        <v/>
      </c>
      <c r="HR20" s="52" t="str">
        <f>IF(E20="","",IF(J20=1000,0,IF(J20=-1000,11,IF(J20&lt;0,11,IF(J20&gt;0,(J20),"0")))))</f>
        <v/>
      </c>
      <c r="HS20" s="53" t="str">
        <f>IF(F20="","",IF(K20=1000,11,IF(K20=-1000,0,IF(K20&gt;0,11,IF(K20&lt;0,(-K20),"0")))))</f>
        <v/>
      </c>
      <c r="HT20" s="53" t="str">
        <f>IF(F20="","",IF(K20=1000,0,IF(K20=-1000,11,IF(K20&lt;-9,-(K20-2),IF(K20&gt;0,(GV20),"0")))))</f>
        <v/>
      </c>
      <c r="HU20" s="54" t="str">
        <f>IF(F20="","",IF(K20=1000,11,IF(K20=-1000,0,IF(K20&lt;9,11,IF(K20&gt;9,(K20+2),"0")))))</f>
        <v/>
      </c>
      <c r="HV20" s="54" t="str">
        <f>IF(F20="","",IF(K20=1000,0,IF(K20=-1000,11,IF(K20&lt;0,11,IF(K20&gt;0,(K20),"0")))))</f>
        <v/>
      </c>
      <c r="HW20" s="49" t="str">
        <f>IF(G20="","",IF(L20=1000,11,IF(L20=-1000,0,IF(L20&gt;0,11,IF(L20&lt;0,(-L20),"0")))))</f>
        <v/>
      </c>
      <c r="HX20" s="50" t="str">
        <f>IF(G20="","",IF(L20=1000,0,IF(L20=-1000,11,IF(L20&lt;-9,-(L20-2),IF(L20&gt;0,(GW20),"0")))))</f>
        <v/>
      </c>
      <c r="HY20" s="51" t="str">
        <f>IF(G20="","",IF(L20=1000,11,IF(L20=-1000,0,IF(L20&lt;9,11,IF(L20&gt;9,(L20+2),"0")))))</f>
        <v/>
      </c>
      <c r="HZ20" s="52" t="str">
        <f>IF(G20="","",IF(L20=1000,0,IF(L20=-1000,11,IF(L20&lt;0,11,IF(L20&gt;0,(L20),"0")))))</f>
        <v/>
      </c>
      <c r="IA20" s="53" t="str">
        <f>IF(H20="","",IF(M20=1000,11,IF(M20=-1000,0,IF(M20&gt;0,11,IF(M20&lt;0,(-M20),"0")))))</f>
        <v/>
      </c>
      <c r="IB20" s="53" t="str">
        <f>IF(H20="","",IF(G20="","",IF(M20=1000,0,IF(M20=-1000,11,IF(M20&lt;-9,-(M20-2),IF(M20&gt;0,(GX20),"0"))))))</f>
        <v/>
      </c>
      <c r="IC20" s="54" t="str">
        <f>IF(H20="","",IF(M20=1000,11,IF(M20=-1000,0,IF(M20&lt;9,11,IF(M20&gt;9,(M20+2),"0")))))</f>
        <v/>
      </c>
      <c r="ID20" s="54" t="str">
        <f>IF(H20="","",IF(M20=1000,0,IF(M20=-1000,11,IF(M20&lt;0,11,IF(M20&gt;0,(M20),"0")))))</f>
        <v/>
      </c>
      <c r="IE20" s="49" t="str">
        <f>IF(I20="","",IF(N20=1000,11,IF(N20=-1000,0,IF(N20&gt;0,11,IF(N20&lt;0,(-N20),"0")))))</f>
        <v/>
      </c>
      <c r="IF20" s="50" t="str">
        <f>IF(I20="","",IF(N20=1000,0,IF(N20=-1000,11,IF(N20&lt;-9,-(N20-2),IF(N20&gt;0,(GY20),"0")))))</f>
        <v/>
      </c>
      <c r="IG20" s="51" t="str">
        <f>IF(I20="","",IF(N20=1000,11,IF(N20=-1000,0,IF(N20&lt;9,11,IF(N20&gt;9,(N20+2),"0")))))</f>
        <v/>
      </c>
      <c r="IH20" s="55" t="str">
        <f>IF(I20="","",IF(N20=1000,0,IF(N20=-1000,11,IF(N20&lt;0,11,IF(N20&gt;0,(N20),"0")))))</f>
        <v/>
      </c>
      <c r="II20" s="56" t="str">
        <f>IF(E20="","",EO20*1)</f>
        <v/>
      </c>
      <c r="IJ20" s="56" t="str">
        <f>IF(F20="","",EY20*1)</f>
        <v/>
      </c>
      <c r="IK20" s="56" t="str">
        <f>IF(G20="","",FI20*1)</f>
        <v/>
      </c>
      <c r="IL20" s="56" t="str">
        <f>IF(H20="","",FS20*1)</f>
        <v/>
      </c>
      <c r="IM20" s="56" t="str">
        <f>IF(I20="","",GC20*1)</f>
        <v/>
      </c>
      <c r="IN20" s="57" t="str">
        <f>IF(E20="","",EU20*1)</f>
        <v/>
      </c>
      <c r="IO20" s="57" t="str">
        <f>IF(F20="","",FE20*1)</f>
        <v/>
      </c>
      <c r="IP20" s="57" t="str">
        <f>IF(G20="","",FO20*1)</f>
        <v/>
      </c>
      <c r="IQ20" s="57" t="str">
        <f>IF(H20="","",FY20*1)</f>
        <v/>
      </c>
      <c r="IR20" s="57" t="str">
        <f>IF(I20="","",GI20*1)</f>
        <v/>
      </c>
      <c r="IS20" s="58" t="str">
        <f>IF(E20="","",SUM(II20:IM20))</f>
        <v/>
      </c>
      <c r="IT20" s="58" t="str">
        <f>IF(E20="","",SUM(IN20:IR20))</f>
        <v/>
      </c>
    </row>
    <row r="21" spans="1:254" ht="38.25" customHeight="1" thickTop="1" thickBot="1" x14ac:dyDescent="0.35">
      <c r="A21" s="9"/>
      <c r="B21" s="60"/>
      <c r="C21" s="61"/>
      <c r="D21" s="60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3">
        <f>IF(HA21&gt;HH21,B11,IF(HH21&gt;HA21,D11,"-"))</f>
        <v>6</v>
      </c>
      <c r="AC21" s="512" t="s">
        <v>38</v>
      </c>
      <c r="AD21" s="512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  <c r="BA21" s="512"/>
      <c r="BB21" s="512"/>
      <c r="BC21" s="512"/>
      <c r="BD21" s="512"/>
      <c r="BE21" s="512"/>
      <c r="BF21" s="512"/>
      <c r="BG21" s="512"/>
      <c r="BH21" s="512"/>
      <c r="BI21" s="512"/>
      <c r="BJ21" s="512"/>
      <c r="BK21" s="512"/>
      <c r="BL21" s="512"/>
      <c r="BM21" s="512"/>
      <c r="BN21" s="512"/>
      <c r="BO21" s="512"/>
      <c r="BP21" s="512"/>
      <c r="BQ21" s="512"/>
      <c r="BR21" s="512"/>
      <c r="BS21" s="512"/>
      <c r="BT21" s="512"/>
      <c r="BU21" s="512"/>
      <c r="BV21" s="512"/>
      <c r="BW21" s="512"/>
      <c r="BX21" s="512"/>
      <c r="BY21" s="512"/>
      <c r="BZ21" s="512"/>
      <c r="CA21" s="512"/>
      <c r="CB21" s="512"/>
      <c r="CC21" s="512"/>
      <c r="CD21" s="512"/>
      <c r="CE21" s="512"/>
      <c r="CF21" s="512"/>
      <c r="CG21" s="512"/>
      <c r="CH21" s="512"/>
      <c r="CI21" s="220" t="str">
        <f>IF(AB21="-","",VLOOKUP(AB21,Список!B:N,12,FALSE))</f>
        <v>«АРСЕНАЛ-С» г.Севастополь</v>
      </c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1">
        <f>IF(E16="","",SUM(GM16:GS20))</f>
        <v>9</v>
      </c>
      <c r="GN21" s="222"/>
      <c r="GO21" s="222"/>
      <c r="GP21" s="222"/>
      <c r="GQ21" s="222"/>
      <c r="GR21" s="222"/>
      <c r="GS21" s="223"/>
      <c r="GT21" s="224">
        <f>IF(E16="","",SUM(GT16:GZ20))</f>
        <v>9</v>
      </c>
      <c r="GU21" s="225"/>
      <c r="GV21" s="225"/>
      <c r="GW21" s="225"/>
      <c r="GX21" s="225"/>
      <c r="GY21" s="225"/>
      <c r="GZ21" s="226"/>
      <c r="HA21" s="227">
        <f>IF(E16="","",SUM(HA16:HG20))</f>
        <v>3</v>
      </c>
      <c r="HB21" s="228"/>
      <c r="HC21" s="228"/>
      <c r="HD21" s="228"/>
      <c r="HE21" s="228"/>
      <c r="HF21" s="228"/>
      <c r="HG21" s="229"/>
      <c r="HH21" s="230">
        <f>IF(E16="","",SUM(HH16:HN20))</f>
        <v>1</v>
      </c>
      <c r="HI21" s="228"/>
      <c r="HJ21" s="228"/>
      <c r="HK21" s="228"/>
      <c r="HL21" s="228"/>
      <c r="HM21" s="228"/>
      <c r="HN21" s="231"/>
      <c r="IS21" s="64">
        <f>IF(E16="","",SUM(IS16:IS20))</f>
        <v>150</v>
      </c>
      <c r="IT21" s="65">
        <f>IF(E16="","",SUM(IT16:IT20))</f>
        <v>172</v>
      </c>
    </row>
    <row r="22" spans="1:254" ht="9" customHeight="1" thickTop="1" x14ac:dyDescent="0.2">
      <c r="A22" s="9"/>
      <c r="B22" s="66"/>
      <c r="C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23"/>
      <c r="BV22" s="23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1"/>
      <c r="FB22" s="131"/>
      <c r="FC22" s="131"/>
      <c r="FD22" s="131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67"/>
    </row>
    <row r="23" spans="1:254" ht="30" customHeight="1" x14ac:dyDescent="0.2">
      <c r="A23" s="9"/>
      <c r="B23" s="166"/>
      <c r="C23" s="62"/>
      <c r="D23" s="166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19"/>
      <c r="AD23" s="19"/>
      <c r="AE23" s="19"/>
      <c r="AF23" s="19"/>
      <c r="AG23" s="19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  <c r="CY23" s="504"/>
      <c r="CZ23" s="504"/>
      <c r="DA23" s="504"/>
      <c r="DB23" s="504"/>
      <c r="DC23" s="504"/>
      <c r="DD23" s="504"/>
      <c r="DE23" s="504"/>
      <c r="DF23" s="504"/>
      <c r="DG23" s="504"/>
      <c r="DH23" s="504"/>
      <c r="DI23" s="504"/>
      <c r="DJ23" s="504"/>
      <c r="DK23" s="504"/>
      <c r="DL23" s="504"/>
      <c r="DM23" s="504"/>
      <c r="DN23" s="504"/>
      <c r="DO23" s="504"/>
      <c r="DP23" s="504"/>
      <c r="DQ23" s="504"/>
      <c r="DR23" s="504"/>
      <c r="DS23" s="504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34"/>
      <c r="FB23" s="34"/>
      <c r="FC23" s="34"/>
      <c r="FD23" s="505">
        <v>1</v>
      </c>
      <c r="FE23" s="506"/>
      <c r="FF23" s="506"/>
      <c r="FG23" s="506"/>
      <c r="FH23" s="506"/>
      <c r="FI23" s="506"/>
      <c r="FJ23" s="506"/>
      <c r="FK23" s="506"/>
      <c r="FL23" s="506"/>
      <c r="FM23" s="506"/>
      <c r="FN23" s="506"/>
      <c r="FO23" s="506"/>
      <c r="FP23" s="506"/>
      <c r="FQ23" s="506"/>
      <c r="FR23" s="506"/>
      <c r="FS23" s="506"/>
      <c r="FT23" s="506"/>
      <c r="FU23" s="506"/>
      <c r="FV23" s="506"/>
      <c r="FW23" s="506"/>
      <c r="FX23" s="507"/>
      <c r="FY23" s="505">
        <v>2</v>
      </c>
      <c r="FZ23" s="506"/>
      <c r="GA23" s="506"/>
      <c r="GB23" s="506"/>
      <c r="GC23" s="506"/>
      <c r="GD23" s="506"/>
      <c r="GE23" s="506"/>
      <c r="GF23" s="506"/>
      <c r="GG23" s="506"/>
      <c r="GH23" s="506"/>
      <c r="GI23" s="506"/>
      <c r="GJ23" s="506"/>
      <c r="GK23" s="506"/>
      <c r="GL23" s="506"/>
      <c r="GM23" s="506"/>
      <c r="GN23" s="506"/>
      <c r="GO23" s="506"/>
      <c r="GP23" s="506"/>
      <c r="GQ23" s="506"/>
      <c r="GR23" s="506"/>
      <c r="GS23" s="507"/>
      <c r="GT23" s="505">
        <v>3</v>
      </c>
      <c r="GU23" s="506"/>
      <c r="GV23" s="506"/>
      <c r="GW23" s="506"/>
      <c r="GX23" s="506"/>
      <c r="GY23" s="506"/>
      <c r="GZ23" s="506"/>
      <c r="HA23" s="506"/>
      <c r="HB23" s="506"/>
      <c r="HC23" s="506"/>
      <c r="HD23" s="506"/>
      <c r="HE23" s="506"/>
      <c r="HF23" s="506"/>
      <c r="HG23" s="506"/>
      <c r="HH23" s="506"/>
      <c r="HI23" s="506"/>
      <c r="HJ23" s="506"/>
      <c r="HK23" s="506"/>
      <c r="HL23" s="506"/>
      <c r="HM23" s="506"/>
      <c r="HN23" s="507"/>
      <c r="HO23" s="67"/>
    </row>
    <row r="24" spans="1:254" ht="30" customHeight="1" x14ac:dyDescent="0.2">
      <c r="A24" s="143"/>
      <c r="B24" s="144"/>
      <c r="C24" s="143"/>
      <c r="D24" s="144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19"/>
      <c r="AD24" s="19"/>
      <c r="AE24" s="19"/>
      <c r="AF24" s="19"/>
      <c r="AG24" s="19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508"/>
      <c r="AT24" s="50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8"/>
      <c r="BF24" s="508"/>
      <c r="BG24" s="508"/>
      <c r="BH24" s="508"/>
      <c r="BI24" s="508"/>
      <c r="BJ24" s="508"/>
      <c r="BK24" s="508"/>
      <c r="BL24" s="508"/>
      <c r="BM24" s="508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508"/>
      <c r="CO24" s="508"/>
      <c r="CP24" s="508"/>
      <c r="CQ24" s="508"/>
      <c r="CR24" s="508"/>
      <c r="CS24" s="508"/>
      <c r="CT24" s="508"/>
      <c r="CU24" s="508"/>
      <c r="CV24" s="508"/>
      <c r="CW24" s="508"/>
      <c r="CX24" s="508"/>
      <c r="CY24" s="508"/>
      <c r="CZ24" s="508"/>
      <c r="DA24" s="508"/>
      <c r="DB24" s="508"/>
      <c r="DC24" s="508"/>
      <c r="DD24" s="508"/>
      <c r="DE24" s="508"/>
      <c r="DF24" s="508"/>
      <c r="DG24" s="508"/>
      <c r="DH24" s="508"/>
      <c r="DI24" s="508"/>
      <c r="DJ24" s="508"/>
      <c r="DK24" s="508"/>
      <c r="DL24" s="508"/>
      <c r="DM24" s="508"/>
      <c r="DN24" s="508"/>
      <c r="DO24" s="508"/>
      <c r="DP24" s="508"/>
      <c r="DQ24" s="508"/>
      <c r="DR24" s="508"/>
      <c r="DS24" s="508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34"/>
      <c r="FB24" s="34"/>
      <c r="FC24" s="34"/>
      <c r="FD24" s="509" t="s">
        <v>39</v>
      </c>
      <c r="FE24" s="510"/>
      <c r="FF24" s="510"/>
      <c r="FG24" s="510"/>
      <c r="FH24" s="510"/>
      <c r="FI24" s="510"/>
      <c r="FJ24" s="510"/>
      <c r="FK24" s="510"/>
      <c r="FL24" s="510"/>
      <c r="FM24" s="510"/>
      <c r="FN24" s="510"/>
      <c r="FO24" s="510"/>
      <c r="FP24" s="510"/>
      <c r="FQ24" s="510"/>
      <c r="FR24" s="510"/>
      <c r="FS24" s="510"/>
      <c r="FT24" s="510"/>
      <c r="FU24" s="510"/>
      <c r="FV24" s="510"/>
      <c r="FW24" s="510"/>
      <c r="FX24" s="511"/>
      <c r="FY24" s="509" t="s">
        <v>40</v>
      </c>
      <c r="FZ24" s="510"/>
      <c r="GA24" s="510"/>
      <c r="GB24" s="510"/>
      <c r="GC24" s="510"/>
      <c r="GD24" s="510"/>
      <c r="GE24" s="510"/>
      <c r="GF24" s="510"/>
      <c r="GG24" s="510"/>
      <c r="GH24" s="510"/>
      <c r="GI24" s="510"/>
      <c r="GJ24" s="510"/>
      <c r="GK24" s="510"/>
      <c r="GL24" s="510"/>
      <c r="GM24" s="510"/>
      <c r="GN24" s="510"/>
      <c r="GO24" s="510"/>
      <c r="GP24" s="510"/>
      <c r="GQ24" s="510"/>
      <c r="GR24" s="510"/>
      <c r="GS24" s="511"/>
      <c r="GT24" s="509" t="s">
        <v>41</v>
      </c>
      <c r="GU24" s="510"/>
      <c r="GV24" s="510"/>
      <c r="GW24" s="510"/>
      <c r="GX24" s="510"/>
      <c r="GY24" s="510"/>
      <c r="GZ24" s="510"/>
      <c r="HA24" s="510"/>
      <c r="HB24" s="510"/>
      <c r="HC24" s="510"/>
      <c r="HD24" s="510"/>
      <c r="HE24" s="510"/>
      <c r="HF24" s="510"/>
      <c r="HG24" s="510"/>
      <c r="HH24" s="510"/>
      <c r="HI24" s="510"/>
      <c r="HJ24" s="510"/>
      <c r="HK24" s="510"/>
      <c r="HL24" s="510"/>
      <c r="HM24" s="510"/>
      <c r="HN24" s="511"/>
      <c r="HO24" s="67"/>
    </row>
    <row r="25" spans="1:254" ht="30" customHeight="1" x14ac:dyDescent="0.2">
      <c r="A25" s="9"/>
      <c r="B25" s="66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19"/>
      <c r="AD25" s="19"/>
      <c r="AE25" s="19"/>
      <c r="AF25" s="19"/>
      <c r="AG25" s="19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495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7"/>
      <c r="FY25" s="495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7"/>
      <c r="GT25" s="495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7"/>
      <c r="HO25" s="67"/>
      <c r="IB25" s="68"/>
    </row>
    <row r="26" spans="1:254" ht="15.75" customHeight="1" x14ac:dyDescent="0.2">
      <c r="A26" s="9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9"/>
      <c r="AD26" s="6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23"/>
      <c r="BV26" s="23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498"/>
      <c r="FE26" s="499"/>
      <c r="FF26" s="499"/>
      <c r="FG26" s="499"/>
      <c r="FH26" s="499"/>
      <c r="FI26" s="499"/>
      <c r="FJ26" s="499"/>
      <c r="FK26" s="499"/>
      <c r="FL26" s="499"/>
      <c r="FM26" s="499"/>
      <c r="FN26" s="499"/>
      <c r="FO26" s="499"/>
      <c r="FP26" s="499"/>
      <c r="FQ26" s="499"/>
      <c r="FR26" s="499"/>
      <c r="FS26" s="499"/>
      <c r="FT26" s="499"/>
      <c r="FU26" s="499"/>
      <c r="FV26" s="499"/>
      <c r="FW26" s="499"/>
      <c r="FX26" s="500"/>
      <c r="FY26" s="498"/>
      <c r="FZ26" s="499"/>
      <c r="GA26" s="499"/>
      <c r="GB26" s="499"/>
      <c r="GC26" s="499"/>
      <c r="GD26" s="499"/>
      <c r="GE26" s="499"/>
      <c r="GF26" s="499"/>
      <c r="GG26" s="499"/>
      <c r="GH26" s="499"/>
      <c r="GI26" s="499"/>
      <c r="GJ26" s="499"/>
      <c r="GK26" s="499"/>
      <c r="GL26" s="499"/>
      <c r="GM26" s="499"/>
      <c r="GN26" s="499"/>
      <c r="GO26" s="499"/>
      <c r="GP26" s="499"/>
      <c r="GQ26" s="499"/>
      <c r="GR26" s="499"/>
      <c r="GS26" s="500"/>
      <c r="GT26" s="498"/>
      <c r="GU26" s="499"/>
      <c r="GV26" s="499"/>
      <c r="GW26" s="499"/>
      <c r="GX26" s="499"/>
      <c r="GY26" s="499"/>
      <c r="GZ26" s="499"/>
      <c r="HA26" s="499"/>
      <c r="HB26" s="499"/>
      <c r="HC26" s="499"/>
      <c r="HD26" s="499"/>
      <c r="HE26" s="499"/>
      <c r="HF26" s="499"/>
      <c r="HG26" s="499"/>
      <c r="HH26" s="499"/>
      <c r="HI26" s="499"/>
      <c r="HJ26" s="499"/>
      <c r="HK26" s="499"/>
      <c r="HL26" s="499"/>
      <c r="HM26" s="499"/>
      <c r="HN26" s="500"/>
      <c r="HO26" s="67"/>
      <c r="IB26" s="68"/>
    </row>
    <row r="27" spans="1:254" ht="16.5" customHeight="1" x14ac:dyDescent="0.2">
      <c r="A27" s="9"/>
      <c r="B27" s="9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23"/>
      <c r="BV27" s="23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501" t="s">
        <v>42</v>
      </c>
      <c r="FE27" s="502"/>
      <c r="FF27" s="502"/>
      <c r="FG27" s="502"/>
      <c r="FH27" s="502"/>
      <c r="FI27" s="502"/>
      <c r="FJ27" s="502"/>
      <c r="FK27" s="502"/>
      <c r="FL27" s="502"/>
      <c r="FM27" s="502"/>
      <c r="FN27" s="502"/>
      <c r="FO27" s="502"/>
      <c r="FP27" s="502"/>
      <c r="FQ27" s="502"/>
      <c r="FR27" s="502"/>
      <c r="FS27" s="502"/>
      <c r="FT27" s="502"/>
      <c r="FU27" s="502"/>
      <c r="FV27" s="502"/>
      <c r="FW27" s="502"/>
      <c r="FX27" s="502"/>
      <c r="FY27" s="502"/>
      <c r="FZ27" s="502"/>
      <c r="GA27" s="502"/>
      <c r="GB27" s="502"/>
      <c r="GC27" s="502"/>
      <c r="GD27" s="502"/>
      <c r="GE27" s="502"/>
      <c r="GF27" s="502"/>
      <c r="GG27" s="502"/>
      <c r="GH27" s="502"/>
      <c r="GI27" s="502"/>
      <c r="GJ27" s="502"/>
      <c r="GK27" s="502"/>
      <c r="GL27" s="502"/>
      <c r="GM27" s="502"/>
      <c r="GN27" s="502"/>
      <c r="GO27" s="502"/>
      <c r="GP27" s="502"/>
      <c r="GQ27" s="502"/>
      <c r="GR27" s="502"/>
      <c r="GS27" s="502"/>
      <c r="GT27" s="502"/>
      <c r="GU27" s="502"/>
      <c r="GV27" s="502"/>
      <c r="GW27" s="502"/>
      <c r="GX27" s="502"/>
      <c r="GY27" s="502"/>
      <c r="GZ27" s="502"/>
      <c r="HA27" s="502"/>
      <c r="HB27" s="502"/>
      <c r="HC27" s="502"/>
      <c r="HD27" s="502"/>
      <c r="HE27" s="502"/>
      <c r="HF27" s="502"/>
      <c r="HG27" s="502"/>
      <c r="HH27" s="502"/>
      <c r="HI27" s="502"/>
      <c r="HJ27" s="502"/>
      <c r="HK27" s="502"/>
      <c r="HL27" s="502"/>
      <c r="HM27" s="502"/>
      <c r="HN27" s="503"/>
      <c r="HO27" s="67"/>
    </row>
    <row r="28" spans="1:254" ht="16.5" customHeight="1" x14ac:dyDescent="0.2">
      <c r="A28" s="9"/>
      <c r="B28" s="9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67"/>
    </row>
    <row r="29" spans="1:254" ht="16.5" customHeight="1" x14ac:dyDescent="0.2">
      <c r="A29" s="9"/>
      <c r="B29" s="9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C29" s="69"/>
      <c r="AD29" s="6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23"/>
      <c r="BW29" s="23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67"/>
    </row>
    <row r="30" spans="1:254" ht="16.5" customHeight="1" x14ac:dyDescent="0.2">
      <c r="A30" s="9"/>
      <c r="B30" s="9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C30" s="69"/>
      <c r="AD30" s="69"/>
      <c r="AE30" s="485" t="s">
        <v>43</v>
      </c>
      <c r="AF30" s="485"/>
      <c r="AG30" s="485"/>
      <c r="AH30" s="485"/>
      <c r="AI30" s="485"/>
      <c r="AJ30" s="485"/>
      <c r="AK30" s="485"/>
      <c r="AL30" s="485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  <c r="BX30" s="485"/>
      <c r="BY30" s="485"/>
      <c r="BZ30" s="485"/>
      <c r="CA30" s="485"/>
      <c r="CB30" s="485"/>
      <c r="CC30" s="485"/>
      <c r="CD30" s="485"/>
      <c r="CE30" s="485"/>
      <c r="CF30" s="485"/>
      <c r="CG30" s="485"/>
      <c r="CH30" s="485"/>
      <c r="CI30" s="485"/>
      <c r="CJ30" s="485"/>
      <c r="CK30" s="485"/>
      <c r="CL30" s="485"/>
      <c r="CM30" s="485"/>
      <c r="CN30" s="485"/>
      <c r="CO30" s="19"/>
      <c r="CP30" s="19"/>
      <c r="CQ30" s="19"/>
      <c r="CR30" s="19"/>
      <c r="CS30" s="19"/>
      <c r="CT30" s="485" t="s">
        <v>44</v>
      </c>
      <c r="CU30" s="485"/>
      <c r="CV30" s="485"/>
      <c r="CW30" s="485"/>
      <c r="CX30" s="485"/>
      <c r="CY30" s="485"/>
      <c r="CZ30" s="485"/>
      <c r="DA30" s="485"/>
      <c r="DB30" s="485"/>
      <c r="DC30" s="485"/>
      <c r="DD30" s="485"/>
      <c r="DE30" s="485"/>
      <c r="DF30" s="485"/>
      <c r="DG30" s="485"/>
      <c r="DH30" s="485"/>
      <c r="DI30" s="485"/>
      <c r="DJ30" s="485"/>
      <c r="DK30" s="485"/>
      <c r="DL30" s="485"/>
      <c r="DM30" s="485"/>
      <c r="DN30" s="485"/>
      <c r="DO30" s="485"/>
      <c r="DP30" s="485"/>
      <c r="DQ30" s="485"/>
      <c r="DR30" s="485"/>
      <c r="DS30" s="485"/>
      <c r="DT30" s="485"/>
      <c r="DU30" s="485"/>
      <c r="DV30" s="485"/>
      <c r="DW30" s="485"/>
      <c r="DX30" s="485"/>
      <c r="DY30" s="485"/>
      <c r="DZ30" s="485"/>
      <c r="EA30" s="485"/>
      <c r="EB30" s="485"/>
      <c r="EC30" s="485"/>
      <c r="ED30" s="485"/>
      <c r="EE30" s="485"/>
      <c r="EF30" s="485"/>
      <c r="EG30" s="485"/>
      <c r="EH30" s="485"/>
      <c r="EI30" s="485"/>
      <c r="EJ30" s="485"/>
      <c r="EK30" s="485"/>
      <c r="EL30" s="485"/>
      <c r="EM30" s="485"/>
      <c r="EN30" s="485"/>
      <c r="EO30" s="485"/>
      <c r="EP30" s="485"/>
      <c r="EQ30" s="485"/>
      <c r="ER30" s="485"/>
      <c r="ES30" s="485"/>
      <c r="ET30" s="485"/>
      <c r="EU30" s="485"/>
      <c r="EV30" s="485"/>
      <c r="EW30" s="485"/>
      <c r="EX30" s="485"/>
      <c r="EY30" s="485"/>
      <c r="EZ30" s="485"/>
      <c r="FA30" s="485"/>
      <c r="FB30" s="485"/>
      <c r="FC30" s="485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67"/>
    </row>
    <row r="31" spans="1:254" ht="15.75" customHeight="1" x14ac:dyDescent="0.2">
      <c r="A31" s="9"/>
      <c r="B31" s="491"/>
      <c r="C31" s="62"/>
      <c r="D31" s="491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C31" s="69"/>
      <c r="AD31" s="6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67"/>
    </row>
    <row r="32" spans="1:254" ht="12.75" customHeight="1" x14ac:dyDescent="0.2">
      <c r="A32" s="9"/>
      <c r="B32" s="491"/>
      <c r="C32" s="62"/>
      <c r="D32" s="49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492" t="s">
        <v>101</v>
      </c>
      <c r="AD32" s="492"/>
      <c r="AE32" s="492"/>
      <c r="AF32" s="492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  <c r="AZ32" s="492"/>
      <c r="BA32" s="492"/>
      <c r="BB32" s="492"/>
      <c r="BC32" s="492"/>
      <c r="BD32" s="492"/>
      <c r="BE32" s="492"/>
      <c r="BF32" s="492"/>
      <c r="BG32" s="492"/>
      <c r="BH32" s="492"/>
      <c r="BI32" s="492"/>
      <c r="BJ32" s="492"/>
      <c r="BK32" s="492"/>
      <c r="BL32" s="492"/>
      <c r="BM32" s="492"/>
      <c r="BN32" s="492"/>
      <c r="BO32" s="492"/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492" t="s">
        <v>101</v>
      </c>
      <c r="EB32" s="492"/>
      <c r="EC32" s="492"/>
      <c r="ED32" s="492"/>
      <c r="EE32" s="492"/>
      <c r="EF32" s="492"/>
      <c r="EG32" s="492"/>
      <c r="EH32" s="492"/>
      <c r="EI32" s="492"/>
      <c r="EJ32" s="492"/>
      <c r="EK32" s="492"/>
      <c r="EL32" s="492"/>
      <c r="EM32" s="492"/>
      <c r="EN32" s="492"/>
      <c r="EO32" s="492"/>
      <c r="EP32" s="492"/>
      <c r="EQ32" s="492"/>
      <c r="ER32" s="492"/>
      <c r="ES32" s="492"/>
      <c r="ET32" s="492"/>
      <c r="EU32" s="492"/>
      <c r="EV32" s="492"/>
      <c r="EW32" s="492"/>
      <c r="EX32" s="492"/>
      <c r="EY32" s="492"/>
      <c r="EZ32" s="492"/>
      <c r="FA32" s="492"/>
      <c r="FB32" s="492"/>
      <c r="FC32" s="492"/>
      <c r="FD32" s="492"/>
      <c r="FE32" s="492"/>
      <c r="FF32" s="492"/>
      <c r="FG32" s="492"/>
      <c r="FH32" s="492"/>
      <c r="FI32" s="492"/>
      <c r="FJ32" s="492"/>
      <c r="FK32" s="492"/>
      <c r="FL32" s="492"/>
      <c r="FM32" s="492"/>
      <c r="FN32" s="492"/>
      <c r="FO32" s="492"/>
      <c r="FP32" s="492"/>
      <c r="FQ32" s="492"/>
      <c r="FR32" s="492"/>
      <c r="FS32" s="492"/>
      <c r="FT32" s="492"/>
      <c r="FU32" s="492"/>
      <c r="FV32" s="492"/>
      <c r="FW32" s="492"/>
      <c r="FX32" s="492"/>
      <c r="FY32" s="492"/>
      <c r="FZ32" s="492"/>
      <c r="GA32" s="492"/>
      <c r="GB32" s="492"/>
      <c r="GC32" s="492"/>
      <c r="GD32" s="492"/>
      <c r="GE32" s="492"/>
      <c r="GF32" s="492"/>
      <c r="GG32" s="492"/>
      <c r="GH32" s="492"/>
      <c r="GI32" s="492"/>
      <c r="GJ32" s="492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67"/>
    </row>
    <row r="33" spans="1:250" ht="12.75" customHeight="1" x14ac:dyDescent="0.2">
      <c r="A33" s="9"/>
      <c r="B33" s="9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493"/>
      <c r="EB33" s="493"/>
      <c r="EC33" s="493"/>
      <c r="ED33" s="493"/>
      <c r="EE33" s="493"/>
      <c r="EF33" s="493"/>
      <c r="EG33" s="493"/>
      <c r="EH33" s="493"/>
      <c r="EI33" s="493"/>
      <c r="EJ33" s="493"/>
      <c r="EK33" s="493"/>
      <c r="EL33" s="493"/>
      <c r="EM33" s="493"/>
      <c r="EN33" s="493"/>
      <c r="EO33" s="493"/>
      <c r="EP33" s="493"/>
      <c r="EQ33" s="493"/>
      <c r="ER33" s="493"/>
      <c r="ES33" s="493"/>
      <c r="ET33" s="493"/>
      <c r="EU33" s="493"/>
      <c r="EV33" s="493"/>
      <c r="EW33" s="493"/>
      <c r="EX33" s="493"/>
      <c r="EY33" s="493"/>
      <c r="EZ33" s="493"/>
      <c r="FA33" s="493"/>
      <c r="FB33" s="493"/>
      <c r="FC33" s="493"/>
      <c r="FD33" s="493"/>
      <c r="FE33" s="493"/>
      <c r="FF33" s="493"/>
      <c r="FG33" s="493"/>
      <c r="FH33" s="493"/>
      <c r="FI33" s="493"/>
      <c r="FJ33" s="493"/>
      <c r="FK33" s="493"/>
      <c r="FL33" s="493"/>
      <c r="FM33" s="493"/>
      <c r="FN33" s="493"/>
      <c r="FO33" s="493"/>
      <c r="FP33" s="493"/>
      <c r="FQ33" s="493"/>
      <c r="FR33" s="493"/>
      <c r="FS33" s="493"/>
      <c r="FT33" s="493"/>
      <c r="FU33" s="493"/>
      <c r="FV33" s="493"/>
      <c r="FW33" s="493"/>
      <c r="FX33" s="493"/>
      <c r="FY33" s="493"/>
      <c r="FZ33" s="493"/>
      <c r="GA33" s="493"/>
      <c r="GB33" s="493"/>
      <c r="GC33" s="493"/>
      <c r="GD33" s="493"/>
      <c r="GE33" s="493"/>
      <c r="GF33" s="493"/>
      <c r="GG33" s="493"/>
      <c r="GH33" s="493"/>
      <c r="GI33" s="493"/>
      <c r="GJ33" s="493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67"/>
    </row>
    <row r="34" spans="1:250" ht="12.75" customHeight="1" x14ac:dyDescent="0.2">
      <c r="A34" s="9"/>
      <c r="B34" s="70"/>
      <c r="C34" s="71"/>
      <c r="D34" s="7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485" t="s">
        <v>45</v>
      </c>
      <c r="AD34" s="485"/>
      <c r="AE34" s="485"/>
      <c r="AF34" s="485"/>
      <c r="AG34" s="485"/>
      <c r="AH34" s="485"/>
      <c r="AI34" s="485"/>
      <c r="AJ34" s="485"/>
      <c r="AK34" s="485"/>
      <c r="AL34" s="485"/>
      <c r="AM34" s="485"/>
      <c r="AN34" s="485"/>
      <c r="AO34" s="485"/>
      <c r="AP34" s="485"/>
      <c r="AQ34" s="485"/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  <c r="BX34" s="485"/>
      <c r="BY34" s="485"/>
      <c r="BZ34" s="485"/>
      <c r="CA34" s="485"/>
      <c r="CB34" s="485"/>
      <c r="CC34" s="485"/>
      <c r="CD34" s="485"/>
      <c r="CE34" s="485"/>
      <c r="CF34" s="485"/>
      <c r="CG34" s="485"/>
      <c r="CH34" s="485"/>
      <c r="CI34" s="485"/>
      <c r="CJ34" s="485"/>
      <c r="CK34" s="485"/>
      <c r="CL34" s="485"/>
      <c r="CM34" s="485"/>
      <c r="CN34" s="485"/>
      <c r="CO34" s="485"/>
      <c r="CP34" s="485"/>
      <c r="CQ34" s="485"/>
      <c r="CR34" s="485"/>
      <c r="CS34" s="485"/>
      <c r="CT34" s="485"/>
      <c r="CU34" s="485"/>
      <c r="CV34" s="485"/>
      <c r="CW34" s="485"/>
      <c r="CX34" s="485"/>
      <c r="CY34" s="485"/>
      <c r="CZ34" s="485"/>
      <c r="DA34" s="485"/>
      <c r="DB34" s="485"/>
      <c r="DC34" s="485"/>
      <c r="DD34" s="485"/>
      <c r="DE34" s="485"/>
      <c r="DF34" s="485"/>
      <c r="DG34" s="485"/>
      <c r="DH34" s="485"/>
      <c r="DI34" s="485"/>
      <c r="DJ34" s="485"/>
      <c r="DK34" s="485"/>
      <c r="DL34" s="485"/>
      <c r="DM34" s="485"/>
      <c r="DN34" s="485"/>
      <c r="DO34" s="485"/>
      <c r="DP34" s="485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485" t="s">
        <v>45</v>
      </c>
      <c r="EB34" s="485"/>
      <c r="EC34" s="485"/>
      <c r="ED34" s="485"/>
      <c r="EE34" s="485"/>
      <c r="EF34" s="485"/>
      <c r="EG34" s="485"/>
      <c r="EH34" s="485"/>
      <c r="EI34" s="485"/>
      <c r="EJ34" s="485"/>
      <c r="EK34" s="485"/>
      <c r="EL34" s="485"/>
      <c r="EM34" s="485"/>
      <c r="EN34" s="485"/>
      <c r="EO34" s="485"/>
      <c r="EP34" s="485"/>
      <c r="EQ34" s="485"/>
      <c r="ER34" s="485"/>
      <c r="ES34" s="485"/>
      <c r="ET34" s="485"/>
      <c r="EU34" s="485"/>
      <c r="EV34" s="485"/>
      <c r="EW34" s="485"/>
      <c r="EX34" s="485"/>
      <c r="EY34" s="485"/>
      <c r="EZ34" s="485"/>
      <c r="FA34" s="485"/>
      <c r="FB34" s="485"/>
      <c r="FC34" s="485"/>
      <c r="FD34" s="485"/>
      <c r="FE34" s="485"/>
      <c r="FF34" s="485"/>
      <c r="FG34" s="485"/>
      <c r="FH34" s="485"/>
      <c r="FI34" s="485"/>
      <c r="FJ34" s="485"/>
      <c r="FK34" s="485"/>
      <c r="FL34" s="485"/>
      <c r="FM34" s="485"/>
      <c r="FN34" s="485"/>
      <c r="FO34" s="485"/>
      <c r="FP34" s="485"/>
      <c r="FQ34" s="485"/>
      <c r="FR34" s="485"/>
      <c r="FS34" s="485"/>
      <c r="FT34" s="485"/>
      <c r="FU34" s="485"/>
      <c r="FV34" s="485"/>
      <c r="FW34" s="485"/>
      <c r="FX34" s="485"/>
      <c r="FY34" s="485"/>
      <c r="FZ34" s="485"/>
      <c r="GA34" s="485"/>
      <c r="GB34" s="485"/>
      <c r="GC34" s="485"/>
      <c r="GD34" s="485"/>
      <c r="GE34" s="485"/>
      <c r="GF34" s="485"/>
      <c r="GG34" s="485"/>
      <c r="GH34" s="485"/>
      <c r="GI34" s="485"/>
      <c r="GJ34" s="485"/>
      <c r="GK34" s="485"/>
      <c r="GL34" s="485"/>
      <c r="GM34" s="485"/>
      <c r="GN34" s="485"/>
      <c r="GO34" s="485"/>
      <c r="GP34" s="485"/>
      <c r="GQ34" s="485"/>
      <c r="GR34" s="485"/>
      <c r="GS34" s="485"/>
      <c r="GT34" s="485"/>
      <c r="GU34" s="485"/>
      <c r="GV34" s="485"/>
      <c r="GW34" s="485"/>
      <c r="GX34" s="485"/>
      <c r="GY34" s="485"/>
      <c r="GZ34" s="485"/>
      <c r="HA34" s="485"/>
      <c r="HB34" s="485"/>
      <c r="HC34" s="485"/>
      <c r="HD34" s="485"/>
      <c r="HE34" s="485"/>
      <c r="HF34" s="485"/>
      <c r="HG34" s="485"/>
      <c r="HH34" s="485"/>
      <c r="HI34" s="485"/>
      <c r="HJ34" s="485"/>
      <c r="HK34" s="485"/>
      <c r="HL34" s="485"/>
      <c r="HM34" s="485"/>
      <c r="HN34" s="485"/>
      <c r="HO34" s="67"/>
    </row>
    <row r="35" spans="1:250" ht="12.75" customHeight="1" x14ac:dyDescent="0.2">
      <c r="A35" s="9"/>
      <c r="B35" s="70"/>
      <c r="C35" s="71"/>
      <c r="D35" s="70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7"/>
    </row>
    <row r="36" spans="1:250" ht="16.5" customHeight="1" x14ac:dyDescent="0.2">
      <c r="A36" s="9"/>
      <c r="B36" s="9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34"/>
      <c r="AD36" s="460" t="s">
        <v>46</v>
      </c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61"/>
      <c r="HN36" s="19"/>
      <c r="HO36" s="67"/>
      <c r="IA36" s="68"/>
    </row>
    <row r="37" spans="1:250" ht="16.5" customHeight="1" x14ac:dyDescent="0.2">
      <c r="A37" s="9"/>
      <c r="B37" s="9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19"/>
      <c r="AD37" s="72"/>
      <c r="AE37" s="24"/>
      <c r="AF37" s="24"/>
      <c r="AG37" s="24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34"/>
      <c r="DG37" s="34"/>
      <c r="DH37" s="34"/>
      <c r="DI37" s="34"/>
      <c r="DJ37" s="34"/>
      <c r="DK37" s="34"/>
      <c r="DL37" s="24"/>
      <c r="DM37" s="24"/>
      <c r="DN37" s="24"/>
      <c r="DO37" s="24"/>
      <c r="DP37" s="24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73"/>
      <c r="HJ37" s="73"/>
      <c r="HK37" s="73"/>
      <c r="HL37" s="73"/>
      <c r="HM37" s="74"/>
      <c r="HN37" s="19"/>
      <c r="HO37" s="67"/>
      <c r="IA37" s="68"/>
    </row>
    <row r="38" spans="1:250" ht="16.5" customHeight="1" x14ac:dyDescent="0.2">
      <c r="A38" s="9"/>
      <c r="B38" s="9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19"/>
      <c r="AD38" s="75"/>
      <c r="AE38" s="34"/>
      <c r="AF38" s="34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73"/>
      <c r="HJ38" s="73"/>
      <c r="HK38" s="73"/>
      <c r="HL38" s="73"/>
      <c r="HM38" s="74"/>
      <c r="HN38" s="19"/>
      <c r="HO38" s="67"/>
    </row>
    <row r="39" spans="1:250" ht="12.75" customHeight="1" x14ac:dyDescent="0.2">
      <c r="A39" s="9"/>
      <c r="B39" s="9"/>
      <c r="C39" s="62"/>
      <c r="D39" s="62"/>
      <c r="E39" s="62"/>
      <c r="F39" s="62"/>
      <c r="G39" s="62"/>
      <c r="H39" s="62"/>
      <c r="I39" s="62"/>
      <c r="AC39" s="34"/>
      <c r="AD39" s="75"/>
      <c r="AE39" s="34"/>
      <c r="AF39" s="34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73"/>
      <c r="HJ39" s="73"/>
      <c r="HK39" s="73"/>
      <c r="HL39" s="73"/>
      <c r="HM39" s="74"/>
      <c r="HN39" s="19"/>
      <c r="HO39" s="67"/>
    </row>
    <row r="40" spans="1:250" x14ac:dyDescent="0.2">
      <c r="A40" s="9"/>
      <c r="AC40" s="19"/>
      <c r="AD40" s="7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76"/>
      <c r="HN40" s="19"/>
    </row>
    <row r="41" spans="1:250" ht="12.75" customHeight="1" x14ac:dyDescent="0.2">
      <c r="A41" s="9"/>
      <c r="AC41" s="19"/>
      <c r="AD41" s="77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80"/>
      <c r="HN41" s="19"/>
    </row>
    <row r="42" spans="1:250" ht="12.75" customHeight="1" x14ac:dyDescent="0.2">
      <c r="A42" s="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86">
        <f>E1</f>
        <v>29</v>
      </c>
      <c r="HE42" s="486"/>
      <c r="HF42" s="486"/>
      <c r="HG42" s="486"/>
      <c r="HH42" s="486"/>
      <c r="HI42" s="486"/>
      <c r="HJ42" s="486"/>
      <c r="HK42" s="486"/>
      <c r="HL42" s="486"/>
      <c r="HM42" s="486"/>
      <c r="HN42" s="19"/>
    </row>
    <row r="43" spans="1:250" ht="12.75" customHeight="1" x14ac:dyDescent="0.2">
      <c r="AC43" s="19"/>
      <c r="AD43" s="19"/>
      <c r="AE43" s="81" t="s">
        <v>47</v>
      </c>
      <c r="AF43" s="19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19"/>
    </row>
    <row r="44" spans="1:250" ht="12.75" customHeight="1" x14ac:dyDescent="0.2">
      <c r="AC44" s="19"/>
      <c r="AD44" s="19"/>
      <c r="AE44" s="19"/>
      <c r="AF44" s="82" t="s">
        <v>48</v>
      </c>
      <c r="AG44" s="82"/>
      <c r="AH44" s="83" t="s">
        <v>49</v>
      </c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19"/>
      <c r="BO44" s="82" t="s">
        <v>50</v>
      </c>
      <c r="BP44" s="82"/>
      <c r="BQ44" s="83" t="s">
        <v>51</v>
      </c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82" t="s">
        <v>52</v>
      </c>
      <c r="CX44" s="82"/>
      <c r="CY44" s="83" t="s">
        <v>53</v>
      </c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34"/>
      <c r="DN44" s="82" t="s">
        <v>54</v>
      </c>
      <c r="DO44" s="82"/>
      <c r="DP44" s="83" t="s">
        <v>55</v>
      </c>
      <c r="DQ44" s="34"/>
      <c r="DR44" s="34"/>
      <c r="DS44" s="34"/>
      <c r="DT44" s="34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82" t="s">
        <v>56</v>
      </c>
      <c r="EI44" s="82"/>
      <c r="EJ44" s="83" t="s">
        <v>57</v>
      </c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19"/>
    </row>
    <row r="45" spans="1:250" ht="12.75" customHeight="1" x14ac:dyDescent="0.2"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19"/>
      <c r="IO45" s="34"/>
      <c r="IP45" s="34"/>
    </row>
    <row r="46" spans="1:250" hidden="1" x14ac:dyDescent="0.2">
      <c r="AA46" s="9"/>
      <c r="AB46" s="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76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IO46" s="34"/>
      <c r="IP46" s="34"/>
    </row>
    <row r="47" spans="1:250" hidden="1" x14ac:dyDescent="0.2"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23"/>
      <c r="BV47" s="23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84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23"/>
      <c r="EJ47" s="19"/>
      <c r="EK47" s="19"/>
      <c r="EL47" s="19"/>
      <c r="EM47" s="19"/>
      <c r="EN47" s="19"/>
      <c r="EO47" s="19"/>
      <c r="EP47" s="19"/>
      <c r="EQ47" s="19"/>
      <c r="ER47" s="23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</row>
    <row r="48" spans="1:250" hidden="1" x14ac:dyDescent="0.2"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23"/>
      <c r="BV48" s="23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76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</row>
    <row r="49" spans="2:222" hidden="1" x14ac:dyDescent="0.2"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23"/>
      <c r="BV49" s="23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76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</row>
    <row r="50" spans="2:222" hidden="1" x14ac:dyDescent="0.2"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23"/>
      <c r="BV50" s="23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76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</row>
    <row r="51" spans="2:222" hidden="1" x14ac:dyDescent="0.2"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23"/>
      <c r="BV51" s="23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23"/>
      <c r="DU51" s="76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</row>
    <row r="52" spans="2:222" ht="21" hidden="1" customHeight="1" thickTop="1" x14ac:dyDescent="0.2"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488" t="s">
        <v>12</v>
      </c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90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23"/>
      <c r="DU52" s="76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488" t="s">
        <v>58</v>
      </c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90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</row>
    <row r="53" spans="2:222" ht="30" hidden="1" customHeight="1" x14ac:dyDescent="0.2">
      <c r="B53" s="25" t="s">
        <v>59</v>
      </c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482" t="str">
        <f>AC11</f>
        <v>«АРСЕНАЛ-С» г.Севастополь</v>
      </c>
      <c r="AY53" s="483"/>
      <c r="AZ53" s="483"/>
      <c r="BA53" s="483"/>
      <c r="BB53" s="483"/>
      <c r="BC53" s="483"/>
      <c r="BD53" s="483"/>
      <c r="BE53" s="483"/>
      <c r="BF53" s="483"/>
      <c r="BG53" s="483"/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/>
      <c r="BS53" s="483"/>
      <c r="BT53" s="483"/>
      <c r="BU53" s="483"/>
      <c r="BV53" s="483"/>
      <c r="BW53" s="483"/>
      <c r="BX53" s="483"/>
      <c r="BY53" s="483"/>
      <c r="BZ53" s="483"/>
      <c r="CA53" s="483"/>
      <c r="CB53" s="483"/>
      <c r="CC53" s="483"/>
      <c r="CD53" s="483"/>
      <c r="CE53" s="483"/>
      <c r="CF53" s="483"/>
      <c r="CG53" s="483"/>
      <c r="CH53" s="483"/>
      <c r="CI53" s="483"/>
      <c r="CJ53" s="483"/>
      <c r="CK53" s="483"/>
      <c r="CL53" s="483"/>
      <c r="CM53" s="483"/>
      <c r="CN53" s="483"/>
      <c r="CO53" s="483"/>
      <c r="CP53" s="483"/>
      <c r="CQ53" s="483"/>
      <c r="CR53" s="483"/>
      <c r="CS53" s="483"/>
      <c r="CT53" s="483"/>
      <c r="CU53" s="483"/>
      <c r="CV53" s="483"/>
      <c r="CW53" s="483"/>
      <c r="CX53" s="483"/>
      <c r="CY53" s="483"/>
      <c r="CZ53" s="483"/>
      <c r="DA53" s="483"/>
      <c r="DB53" s="483"/>
      <c r="DC53" s="484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23"/>
      <c r="DU53" s="76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482" t="str">
        <f>CI11</f>
        <v>«СШ №3(1)» г.Симферополь</v>
      </c>
      <c r="EU53" s="483"/>
      <c r="EV53" s="483"/>
      <c r="EW53" s="483"/>
      <c r="EX53" s="483"/>
      <c r="EY53" s="483"/>
      <c r="EZ53" s="483"/>
      <c r="FA53" s="483"/>
      <c r="FB53" s="483"/>
      <c r="FC53" s="483"/>
      <c r="FD53" s="483"/>
      <c r="FE53" s="483"/>
      <c r="FF53" s="483"/>
      <c r="FG53" s="483"/>
      <c r="FH53" s="483"/>
      <c r="FI53" s="483"/>
      <c r="FJ53" s="483"/>
      <c r="FK53" s="483"/>
      <c r="FL53" s="483"/>
      <c r="FM53" s="483"/>
      <c r="FN53" s="483"/>
      <c r="FO53" s="483"/>
      <c r="FP53" s="483"/>
      <c r="FQ53" s="483"/>
      <c r="FR53" s="483"/>
      <c r="FS53" s="483"/>
      <c r="FT53" s="483"/>
      <c r="FU53" s="483"/>
      <c r="FV53" s="483"/>
      <c r="FW53" s="483"/>
      <c r="FX53" s="483"/>
      <c r="FY53" s="483"/>
      <c r="FZ53" s="483"/>
      <c r="GA53" s="483"/>
      <c r="GB53" s="483"/>
      <c r="GC53" s="483"/>
      <c r="GD53" s="483"/>
      <c r="GE53" s="483"/>
      <c r="GF53" s="483"/>
      <c r="GG53" s="483"/>
      <c r="GH53" s="483"/>
      <c r="GI53" s="483"/>
      <c r="GJ53" s="483"/>
      <c r="GK53" s="483"/>
      <c r="GL53" s="483"/>
      <c r="GM53" s="483"/>
      <c r="GN53" s="483"/>
      <c r="GO53" s="483"/>
      <c r="GP53" s="483"/>
      <c r="GQ53" s="483"/>
      <c r="GR53" s="483"/>
      <c r="GS53" s="483"/>
      <c r="GT53" s="483"/>
      <c r="GU53" s="483"/>
      <c r="GV53" s="483"/>
      <c r="GW53" s="483"/>
      <c r="GX53" s="483"/>
      <c r="GY53" s="484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</row>
    <row r="54" spans="2:222" hidden="1" x14ac:dyDescent="0.2"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23"/>
      <c r="BX54" s="23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23"/>
      <c r="DU54" s="76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</row>
    <row r="55" spans="2:222" ht="12.75" hidden="1" customHeight="1" x14ac:dyDescent="0.2"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469" t="s">
        <v>60</v>
      </c>
      <c r="AY55" s="469"/>
      <c r="AZ55" s="469"/>
      <c r="BA55" s="469"/>
      <c r="BB55" s="469"/>
      <c r="BC55" s="469"/>
      <c r="BD55" s="469"/>
      <c r="BE55" s="469"/>
      <c r="BF55" s="469"/>
      <c r="BG55" s="469"/>
      <c r="BH55" s="469"/>
      <c r="BI55" s="469"/>
      <c r="BJ55" s="469"/>
      <c r="BK55" s="469"/>
      <c r="BL55" s="469"/>
      <c r="BM55" s="469"/>
      <c r="BN55" s="469"/>
      <c r="BO55" s="469"/>
      <c r="BP55" s="469"/>
      <c r="BQ55" s="469"/>
      <c r="BR55" s="469"/>
      <c r="BS55" s="469"/>
      <c r="BT55" s="469"/>
      <c r="BU55" s="469"/>
      <c r="BV55" s="469"/>
      <c r="BW55" s="469"/>
      <c r="BX55" s="469"/>
      <c r="BY55" s="469"/>
      <c r="BZ55" s="469"/>
      <c r="CA55" s="469"/>
      <c r="CB55" s="469"/>
      <c r="CC55" s="469"/>
      <c r="CD55" s="469"/>
      <c r="CE55" s="469"/>
      <c r="CF55" s="469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23"/>
      <c r="DU55" s="76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469" t="s">
        <v>60</v>
      </c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  <c r="FU55" s="469"/>
      <c r="FV55" s="469"/>
      <c r="FW55" s="469"/>
      <c r="FX55" s="469"/>
      <c r="FY55" s="469"/>
      <c r="FZ55" s="469"/>
      <c r="GA55" s="469"/>
      <c r="GB55" s="469"/>
      <c r="GC55" s="469"/>
      <c r="GD55" s="469"/>
      <c r="GE55" s="469"/>
      <c r="GF55" s="469"/>
      <c r="GG55" s="469"/>
      <c r="GH55" s="469"/>
      <c r="GI55" s="469"/>
      <c r="GJ55" s="469"/>
      <c r="GK55" s="469"/>
      <c r="GL55" s="469"/>
      <c r="GM55" s="469"/>
      <c r="GN55" s="469"/>
      <c r="GO55" s="469"/>
      <c r="GP55" s="469"/>
      <c r="GQ55" s="469"/>
      <c r="GR55" s="469"/>
      <c r="GS55" s="469"/>
      <c r="GT55" s="469"/>
      <c r="GU55" s="469"/>
      <c r="GV55" s="469"/>
      <c r="GW55" s="469"/>
      <c r="GX55" s="469"/>
      <c r="GY55" s="46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</row>
    <row r="56" spans="2:222" ht="12.75" hidden="1" customHeight="1" x14ac:dyDescent="0.2"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468"/>
      <c r="AY56" s="468"/>
      <c r="AZ56" s="468"/>
      <c r="BA56" s="468"/>
      <c r="BB56" s="468"/>
      <c r="BC56" s="468"/>
      <c r="BD56" s="468"/>
      <c r="BE56" s="468"/>
      <c r="BF56" s="468"/>
      <c r="BG56" s="468"/>
      <c r="BH56" s="468"/>
      <c r="BI56" s="468"/>
      <c r="BJ56" s="468"/>
      <c r="BK56" s="468"/>
      <c r="BL56" s="468"/>
      <c r="BM56" s="468"/>
      <c r="BN56" s="468"/>
      <c r="BO56" s="468"/>
      <c r="BP56" s="468"/>
      <c r="BQ56" s="468"/>
      <c r="BR56" s="468"/>
      <c r="BS56" s="468"/>
      <c r="BT56" s="468"/>
      <c r="BU56" s="468"/>
      <c r="BV56" s="468"/>
      <c r="BW56" s="468"/>
      <c r="BX56" s="468"/>
      <c r="BY56" s="468"/>
      <c r="BZ56" s="468"/>
      <c r="CA56" s="468"/>
      <c r="CB56" s="468"/>
      <c r="CC56" s="468"/>
      <c r="CD56" s="468"/>
      <c r="CE56" s="468"/>
      <c r="CF56" s="468"/>
      <c r="CG56" s="468"/>
      <c r="CH56" s="468"/>
      <c r="CI56" s="468"/>
      <c r="CJ56" s="468"/>
      <c r="CK56" s="468"/>
      <c r="CL56" s="468"/>
      <c r="CM56" s="468"/>
      <c r="CN56" s="468"/>
      <c r="CO56" s="468"/>
      <c r="CP56" s="468"/>
      <c r="CQ56" s="468"/>
      <c r="CR56" s="468"/>
      <c r="CS56" s="468"/>
      <c r="CT56" s="468"/>
      <c r="CU56" s="468"/>
      <c r="CV56" s="468"/>
      <c r="CW56" s="468"/>
      <c r="CX56" s="468"/>
      <c r="CY56" s="468"/>
      <c r="CZ56" s="468"/>
      <c r="DA56" s="468"/>
      <c r="DB56" s="468"/>
      <c r="DC56" s="468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23"/>
      <c r="DU56" s="76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468"/>
      <c r="EU56" s="468"/>
      <c r="EV56" s="468"/>
      <c r="EW56" s="468"/>
      <c r="EX56" s="468"/>
      <c r="EY56" s="468"/>
      <c r="EZ56" s="468"/>
      <c r="FA56" s="468"/>
      <c r="FB56" s="468"/>
      <c r="FC56" s="468"/>
      <c r="FD56" s="468"/>
      <c r="FE56" s="468"/>
      <c r="FF56" s="468"/>
      <c r="FG56" s="468"/>
      <c r="FH56" s="468"/>
      <c r="FI56" s="468"/>
      <c r="FJ56" s="468"/>
      <c r="FK56" s="468"/>
      <c r="FL56" s="468"/>
      <c r="FM56" s="468"/>
      <c r="FN56" s="468"/>
      <c r="FO56" s="468"/>
      <c r="FP56" s="468"/>
      <c r="FQ56" s="468"/>
      <c r="FR56" s="468"/>
      <c r="FS56" s="468"/>
      <c r="FT56" s="468"/>
      <c r="FU56" s="468"/>
      <c r="FV56" s="468"/>
      <c r="FW56" s="468"/>
      <c r="FX56" s="468"/>
      <c r="FY56" s="468"/>
      <c r="FZ56" s="468"/>
      <c r="GA56" s="468"/>
      <c r="GB56" s="468"/>
      <c r="GC56" s="468"/>
      <c r="GD56" s="468"/>
      <c r="GE56" s="468"/>
      <c r="GF56" s="468"/>
      <c r="GG56" s="468"/>
      <c r="GH56" s="468"/>
      <c r="GI56" s="468"/>
      <c r="GJ56" s="468"/>
      <c r="GK56" s="468"/>
      <c r="GL56" s="468"/>
      <c r="GM56" s="468"/>
      <c r="GN56" s="468"/>
      <c r="GO56" s="468"/>
      <c r="GP56" s="468"/>
      <c r="GQ56" s="468"/>
      <c r="GR56" s="468"/>
      <c r="GS56" s="468"/>
      <c r="GT56" s="468"/>
      <c r="GU56" s="468"/>
      <c r="GV56" s="468"/>
      <c r="GW56" s="468"/>
      <c r="GX56" s="468"/>
      <c r="GY56" s="468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</row>
    <row r="57" spans="2:222" ht="30" hidden="1" customHeight="1" x14ac:dyDescent="0.2">
      <c r="E57" s="480">
        <f>A3</f>
        <v>62</v>
      </c>
      <c r="F57" s="481"/>
      <c r="G57" s="9"/>
      <c r="H57" s="480">
        <f>C2</f>
        <v>81</v>
      </c>
      <c r="I57" s="481"/>
      <c r="J57" s="85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470">
        <v>1</v>
      </c>
      <c r="AY57" s="471"/>
      <c r="AZ57" s="471"/>
      <c r="BA57" s="472"/>
      <c r="BB57" s="476" t="s">
        <v>108</v>
      </c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8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23"/>
      <c r="DU57" s="76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470">
        <v>1</v>
      </c>
      <c r="EU57" s="471"/>
      <c r="EV57" s="471"/>
      <c r="EW57" s="472"/>
      <c r="EX57" s="476" t="s">
        <v>106</v>
      </c>
      <c r="EY57" s="477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8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</row>
    <row r="58" spans="2:222" ht="30" hidden="1" customHeight="1" x14ac:dyDescent="0.2">
      <c r="E58" s="480">
        <f>A4</f>
        <v>63</v>
      </c>
      <c r="F58" s="481"/>
      <c r="G58" s="9"/>
      <c r="H58" s="480">
        <f>C4</f>
        <v>83</v>
      </c>
      <c r="I58" s="481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470">
        <v>2</v>
      </c>
      <c r="AY58" s="471"/>
      <c r="AZ58" s="471"/>
      <c r="BA58" s="472"/>
      <c r="BB58" s="476" t="s">
        <v>103</v>
      </c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8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23"/>
      <c r="DU58" s="76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470">
        <v>2</v>
      </c>
      <c r="EU58" s="471"/>
      <c r="EV58" s="471"/>
      <c r="EW58" s="472"/>
      <c r="EX58" s="476" t="s">
        <v>107</v>
      </c>
      <c r="EY58" s="477"/>
      <c r="EZ58" s="477"/>
      <c r="FA58" s="477"/>
      <c r="FB58" s="477"/>
      <c r="FC58" s="477"/>
      <c r="FD58" s="477"/>
      <c r="FE58" s="477"/>
      <c r="FF58" s="477"/>
      <c r="FG58" s="477"/>
      <c r="FH58" s="477"/>
      <c r="FI58" s="477"/>
      <c r="FJ58" s="477"/>
      <c r="FK58" s="477"/>
      <c r="FL58" s="477"/>
      <c r="FM58" s="477"/>
      <c r="FN58" s="477"/>
      <c r="FO58" s="477"/>
      <c r="FP58" s="477"/>
      <c r="FQ58" s="477"/>
      <c r="FR58" s="477"/>
      <c r="FS58" s="477"/>
      <c r="FT58" s="477"/>
      <c r="FU58" s="477"/>
      <c r="FV58" s="477"/>
      <c r="FW58" s="477"/>
      <c r="FX58" s="477"/>
      <c r="FY58" s="477"/>
      <c r="FZ58" s="477"/>
      <c r="GA58" s="477"/>
      <c r="GB58" s="477"/>
      <c r="GC58" s="477"/>
      <c r="GD58" s="477"/>
      <c r="GE58" s="477"/>
      <c r="GF58" s="477"/>
      <c r="GG58" s="477"/>
      <c r="GH58" s="477"/>
      <c r="GI58" s="477"/>
      <c r="GJ58" s="477"/>
      <c r="GK58" s="477"/>
      <c r="GL58" s="477"/>
      <c r="GM58" s="477"/>
      <c r="GN58" s="477"/>
      <c r="GO58" s="477"/>
      <c r="GP58" s="477"/>
      <c r="GQ58" s="477"/>
      <c r="GR58" s="477"/>
      <c r="GS58" s="477"/>
      <c r="GT58" s="477"/>
      <c r="GU58" s="477"/>
      <c r="GV58" s="477"/>
      <c r="GW58" s="477"/>
      <c r="GX58" s="477"/>
      <c r="GY58" s="478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</row>
    <row r="59" spans="2:222" ht="30" hidden="1" customHeight="1" x14ac:dyDescent="0.2">
      <c r="E59" s="480">
        <f>A7</f>
        <v>66</v>
      </c>
      <c r="F59" s="481"/>
      <c r="G59" s="9"/>
      <c r="H59" s="480">
        <f>C7</f>
        <v>86</v>
      </c>
      <c r="I59" s="481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470">
        <v>3</v>
      </c>
      <c r="AY59" s="471"/>
      <c r="AZ59" s="471"/>
      <c r="BA59" s="472"/>
      <c r="BB59" s="476">
        <v>0</v>
      </c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8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76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470">
        <v>3</v>
      </c>
      <c r="EU59" s="471"/>
      <c r="EV59" s="471"/>
      <c r="EW59" s="472"/>
      <c r="EX59" s="476">
        <v>0</v>
      </c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8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</row>
    <row r="60" spans="2:222" ht="30" hidden="1" customHeight="1" x14ac:dyDescent="0.2">
      <c r="E60" s="480">
        <f>A8</f>
        <v>67</v>
      </c>
      <c r="F60" s="481"/>
      <c r="G60" s="9"/>
      <c r="H60" s="480">
        <f>C8</f>
        <v>87</v>
      </c>
      <c r="I60" s="481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470">
        <v>4</v>
      </c>
      <c r="AY60" s="471"/>
      <c r="AZ60" s="471"/>
      <c r="BA60" s="472"/>
      <c r="BB60" s="476">
        <v>0</v>
      </c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8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76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470">
        <v>4</v>
      </c>
      <c r="EU60" s="471"/>
      <c r="EV60" s="471"/>
      <c r="EW60" s="472"/>
      <c r="EX60" s="476">
        <v>0</v>
      </c>
      <c r="EY60" s="477"/>
      <c r="EZ60" s="477"/>
      <c r="FA60" s="477"/>
      <c r="FB60" s="477"/>
      <c r="FC60" s="477"/>
      <c r="FD60" s="477"/>
      <c r="FE60" s="477"/>
      <c r="FF60" s="477"/>
      <c r="FG60" s="477"/>
      <c r="FH60" s="477"/>
      <c r="FI60" s="477"/>
      <c r="FJ60" s="477"/>
      <c r="FK60" s="477"/>
      <c r="FL60" s="477"/>
      <c r="FM60" s="477"/>
      <c r="FN60" s="477"/>
      <c r="FO60" s="477"/>
      <c r="FP60" s="477"/>
      <c r="FQ60" s="477"/>
      <c r="FR60" s="477"/>
      <c r="FS60" s="477"/>
      <c r="FT60" s="477"/>
      <c r="FU60" s="477"/>
      <c r="FV60" s="477"/>
      <c r="FW60" s="477"/>
      <c r="FX60" s="477"/>
      <c r="FY60" s="477"/>
      <c r="FZ60" s="477"/>
      <c r="GA60" s="477"/>
      <c r="GB60" s="477"/>
      <c r="GC60" s="477"/>
      <c r="GD60" s="477"/>
      <c r="GE60" s="477"/>
      <c r="GF60" s="477"/>
      <c r="GG60" s="477"/>
      <c r="GH60" s="477"/>
      <c r="GI60" s="477"/>
      <c r="GJ60" s="477"/>
      <c r="GK60" s="477"/>
      <c r="GL60" s="477"/>
      <c r="GM60" s="477"/>
      <c r="GN60" s="477"/>
      <c r="GO60" s="477"/>
      <c r="GP60" s="477"/>
      <c r="GQ60" s="477"/>
      <c r="GR60" s="477"/>
      <c r="GS60" s="477"/>
      <c r="GT60" s="477"/>
      <c r="GU60" s="477"/>
      <c r="GV60" s="477"/>
      <c r="GW60" s="477"/>
      <c r="GX60" s="477"/>
      <c r="GY60" s="478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</row>
    <row r="61" spans="2:222" ht="30" hidden="1" customHeight="1" x14ac:dyDescent="0.2">
      <c r="E61" s="480">
        <f>A9</f>
        <v>68</v>
      </c>
      <c r="F61" s="481"/>
      <c r="G61" s="9"/>
      <c r="H61" s="480">
        <f>C9</f>
        <v>88</v>
      </c>
      <c r="I61" s="481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470">
        <v>5</v>
      </c>
      <c r="AY61" s="471"/>
      <c r="AZ61" s="471"/>
      <c r="BA61" s="472"/>
      <c r="BB61" s="476">
        <v>0</v>
      </c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8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76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470">
        <v>5</v>
      </c>
      <c r="EU61" s="471"/>
      <c r="EV61" s="471"/>
      <c r="EW61" s="472"/>
      <c r="EX61" s="476">
        <v>0</v>
      </c>
      <c r="EY61" s="477"/>
      <c r="EZ61" s="477"/>
      <c r="FA61" s="477"/>
      <c r="FB61" s="477"/>
      <c r="FC61" s="477"/>
      <c r="FD61" s="477"/>
      <c r="FE61" s="477"/>
      <c r="FF61" s="477"/>
      <c r="FG61" s="477"/>
      <c r="FH61" s="477"/>
      <c r="FI61" s="477"/>
      <c r="FJ61" s="477"/>
      <c r="FK61" s="477"/>
      <c r="FL61" s="477"/>
      <c r="FM61" s="477"/>
      <c r="FN61" s="477"/>
      <c r="FO61" s="477"/>
      <c r="FP61" s="477"/>
      <c r="FQ61" s="477"/>
      <c r="FR61" s="477"/>
      <c r="FS61" s="477"/>
      <c r="FT61" s="477"/>
      <c r="FU61" s="477"/>
      <c r="FV61" s="477"/>
      <c r="FW61" s="477"/>
      <c r="FX61" s="477"/>
      <c r="FY61" s="477"/>
      <c r="FZ61" s="477"/>
      <c r="GA61" s="477"/>
      <c r="GB61" s="477"/>
      <c r="GC61" s="477"/>
      <c r="GD61" s="477"/>
      <c r="GE61" s="477"/>
      <c r="GF61" s="477"/>
      <c r="GG61" s="477"/>
      <c r="GH61" s="477"/>
      <c r="GI61" s="477"/>
      <c r="GJ61" s="477"/>
      <c r="GK61" s="477"/>
      <c r="GL61" s="477"/>
      <c r="GM61" s="477"/>
      <c r="GN61" s="477"/>
      <c r="GO61" s="477"/>
      <c r="GP61" s="477"/>
      <c r="GQ61" s="477"/>
      <c r="GR61" s="477"/>
      <c r="GS61" s="477"/>
      <c r="GT61" s="477"/>
      <c r="GU61" s="477"/>
      <c r="GV61" s="477"/>
      <c r="GW61" s="477"/>
      <c r="GX61" s="477"/>
      <c r="GY61" s="478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</row>
    <row r="62" spans="2:222" ht="30" hidden="1" customHeight="1" x14ac:dyDescent="0.2">
      <c r="E62" s="480">
        <f>1+E61</f>
        <v>69</v>
      </c>
      <c r="F62" s="481"/>
      <c r="G62" s="9"/>
      <c r="H62" s="480">
        <f>1+H61</f>
        <v>89</v>
      </c>
      <c r="I62" s="481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470">
        <v>6</v>
      </c>
      <c r="AY62" s="471"/>
      <c r="AZ62" s="471"/>
      <c r="BA62" s="472"/>
      <c r="BB62" s="476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8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76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470">
        <v>6</v>
      </c>
      <c r="EU62" s="471"/>
      <c r="EV62" s="471"/>
      <c r="EW62" s="472"/>
      <c r="EX62" s="476"/>
      <c r="EY62" s="477"/>
      <c r="EZ62" s="477"/>
      <c r="FA62" s="477"/>
      <c r="FB62" s="477"/>
      <c r="FC62" s="477"/>
      <c r="FD62" s="477"/>
      <c r="FE62" s="477"/>
      <c r="FF62" s="477"/>
      <c r="FG62" s="477"/>
      <c r="FH62" s="477"/>
      <c r="FI62" s="477"/>
      <c r="FJ62" s="477"/>
      <c r="FK62" s="477"/>
      <c r="FL62" s="477"/>
      <c r="FM62" s="477"/>
      <c r="FN62" s="477"/>
      <c r="FO62" s="477"/>
      <c r="FP62" s="477"/>
      <c r="FQ62" s="477"/>
      <c r="FR62" s="477"/>
      <c r="FS62" s="477"/>
      <c r="FT62" s="477"/>
      <c r="FU62" s="477"/>
      <c r="FV62" s="477"/>
      <c r="FW62" s="477"/>
      <c r="FX62" s="477"/>
      <c r="FY62" s="477"/>
      <c r="FZ62" s="477"/>
      <c r="GA62" s="477"/>
      <c r="GB62" s="477"/>
      <c r="GC62" s="477"/>
      <c r="GD62" s="477"/>
      <c r="GE62" s="477"/>
      <c r="GF62" s="477"/>
      <c r="GG62" s="477"/>
      <c r="GH62" s="477"/>
      <c r="GI62" s="477"/>
      <c r="GJ62" s="477"/>
      <c r="GK62" s="477"/>
      <c r="GL62" s="477"/>
      <c r="GM62" s="477"/>
      <c r="GN62" s="477"/>
      <c r="GO62" s="477"/>
      <c r="GP62" s="477"/>
      <c r="GQ62" s="477"/>
      <c r="GR62" s="477"/>
      <c r="GS62" s="477"/>
      <c r="GT62" s="477"/>
      <c r="GU62" s="477"/>
      <c r="GV62" s="477"/>
      <c r="GW62" s="477"/>
      <c r="GX62" s="477"/>
      <c r="GY62" s="478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</row>
    <row r="63" spans="2:222" ht="30" hidden="1" customHeight="1" x14ac:dyDescent="0.2">
      <c r="E63" s="480">
        <f>1+E62</f>
        <v>70</v>
      </c>
      <c r="F63" s="481"/>
      <c r="G63" s="9"/>
      <c r="H63" s="480">
        <f>1+H62</f>
        <v>90</v>
      </c>
      <c r="I63" s="481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470">
        <v>7</v>
      </c>
      <c r="AY63" s="471"/>
      <c r="AZ63" s="471"/>
      <c r="BA63" s="472"/>
      <c r="BB63" s="476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8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76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470">
        <v>7</v>
      </c>
      <c r="EU63" s="471"/>
      <c r="EV63" s="471"/>
      <c r="EW63" s="472"/>
      <c r="EX63" s="476"/>
      <c r="EY63" s="477"/>
      <c r="EZ63" s="477"/>
      <c r="FA63" s="477"/>
      <c r="FB63" s="477"/>
      <c r="FC63" s="477"/>
      <c r="FD63" s="477"/>
      <c r="FE63" s="477"/>
      <c r="FF63" s="477"/>
      <c r="FG63" s="477"/>
      <c r="FH63" s="477"/>
      <c r="FI63" s="477"/>
      <c r="FJ63" s="477"/>
      <c r="FK63" s="477"/>
      <c r="FL63" s="477"/>
      <c r="FM63" s="477"/>
      <c r="FN63" s="477"/>
      <c r="FO63" s="477"/>
      <c r="FP63" s="477"/>
      <c r="FQ63" s="477"/>
      <c r="FR63" s="477"/>
      <c r="FS63" s="477"/>
      <c r="FT63" s="477"/>
      <c r="FU63" s="477"/>
      <c r="FV63" s="477"/>
      <c r="FW63" s="477"/>
      <c r="FX63" s="477"/>
      <c r="FY63" s="477"/>
      <c r="FZ63" s="477"/>
      <c r="GA63" s="477"/>
      <c r="GB63" s="477"/>
      <c r="GC63" s="477"/>
      <c r="GD63" s="477"/>
      <c r="GE63" s="477"/>
      <c r="GF63" s="477"/>
      <c r="GG63" s="477"/>
      <c r="GH63" s="477"/>
      <c r="GI63" s="477"/>
      <c r="GJ63" s="477"/>
      <c r="GK63" s="477"/>
      <c r="GL63" s="477"/>
      <c r="GM63" s="477"/>
      <c r="GN63" s="477"/>
      <c r="GO63" s="477"/>
      <c r="GP63" s="477"/>
      <c r="GQ63" s="477"/>
      <c r="GR63" s="477"/>
      <c r="GS63" s="477"/>
      <c r="GT63" s="477"/>
      <c r="GU63" s="477"/>
      <c r="GV63" s="477"/>
      <c r="GW63" s="477"/>
      <c r="GX63" s="477"/>
      <c r="GY63" s="478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</row>
    <row r="64" spans="2:222" ht="30" hidden="1" customHeight="1" x14ac:dyDescent="0.2">
      <c r="E64" s="480">
        <f>1+E63</f>
        <v>71</v>
      </c>
      <c r="F64" s="481"/>
      <c r="G64" s="9"/>
      <c r="H64" s="480">
        <f>1+H63</f>
        <v>91</v>
      </c>
      <c r="I64" s="481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470">
        <v>8</v>
      </c>
      <c r="AY64" s="471"/>
      <c r="AZ64" s="471"/>
      <c r="BA64" s="472"/>
      <c r="BB64" s="476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8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76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470">
        <v>8</v>
      </c>
      <c r="EU64" s="471"/>
      <c r="EV64" s="471"/>
      <c r="EW64" s="472"/>
      <c r="EX64" s="476"/>
      <c r="EY64" s="477"/>
      <c r="EZ64" s="477"/>
      <c r="FA64" s="477"/>
      <c r="FB64" s="477"/>
      <c r="FC64" s="477"/>
      <c r="FD64" s="477"/>
      <c r="FE64" s="477"/>
      <c r="FF64" s="477"/>
      <c r="FG64" s="477"/>
      <c r="FH64" s="477"/>
      <c r="FI64" s="477"/>
      <c r="FJ64" s="477"/>
      <c r="FK64" s="477"/>
      <c r="FL64" s="477"/>
      <c r="FM64" s="477"/>
      <c r="FN64" s="477"/>
      <c r="FO64" s="477"/>
      <c r="FP64" s="477"/>
      <c r="FQ64" s="477"/>
      <c r="FR64" s="477"/>
      <c r="FS64" s="477"/>
      <c r="FT64" s="477"/>
      <c r="FU64" s="477"/>
      <c r="FV64" s="477"/>
      <c r="FW64" s="477"/>
      <c r="FX64" s="477"/>
      <c r="FY64" s="477"/>
      <c r="FZ64" s="477"/>
      <c r="GA64" s="477"/>
      <c r="GB64" s="477"/>
      <c r="GC64" s="477"/>
      <c r="GD64" s="477"/>
      <c r="GE64" s="477"/>
      <c r="GF64" s="477"/>
      <c r="GG64" s="477"/>
      <c r="GH64" s="477"/>
      <c r="GI64" s="477"/>
      <c r="GJ64" s="477"/>
      <c r="GK64" s="477"/>
      <c r="GL64" s="477"/>
      <c r="GM64" s="477"/>
      <c r="GN64" s="477"/>
      <c r="GO64" s="477"/>
      <c r="GP64" s="477"/>
      <c r="GQ64" s="477"/>
      <c r="GR64" s="477"/>
      <c r="GS64" s="477"/>
      <c r="GT64" s="477"/>
      <c r="GU64" s="477"/>
      <c r="GV64" s="477"/>
      <c r="GW64" s="477"/>
      <c r="GX64" s="477"/>
      <c r="GY64" s="478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</row>
    <row r="65" spans="5:222" ht="30" hidden="1" customHeight="1" x14ac:dyDescent="0.2">
      <c r="E65" s="480">
        <f>1+E64</f>
        <v>72</v>
      </c>
      <c r="F65" s="481"/>
      <c r="G65" s="9"/>
      <c r="H65" s="480">
        <f>1+H64</f>
        <v>92</v>
      </c>
      <c r="I65" s="481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470">
        <v>9</v>
      </c>
      <c r="AY65" s="471"/>
      <c r="AZ65" s="471"/>
      <c r="BA65" s="472"/>
      <c r="BB65" s="476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8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76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470">
        <v>9</v>
      </c>
      <c r="EU65" s="471"/>
      <c r="EV65" s="471"/>
      <c r="EW65" s="472"/>
      <c r="EX65" s="476"/>
      <c r="EY65" s="477"/>
      <c r="EZ65" s="477"/>
      <c r="FA65" s="477"/>
      <c r="FB65" s="477"/>
      <c r="FC65" s="477"/>
      <c r="FD65" s="477"/>
      <c r="FE65" s="477"/>
      <c r="FF65" s="477"/>
      <c r="FG65" s="477"/>
      <c r="FH65" s="477"/>
      <c r="FI65" s="477"/>
      <c r="FJ65" s="477"/>
      <c r="FK65" s="477"/>
      <c r="FL65" s="477"/>
      <c r="FM65" s="477"/>
      <c r="FN65" s="477"/>
      <c r="FO65" s="477"/>
      <c r="FP65" s="477"/>
      <c r="FQ65" s="477"/>
      <c r="FR65" s="477"/>
      <c r="FS65" s="477"/>
      <c r="FT65" s="477"/>
      <c r="FU65" s="477"/>
      <c r="FV65" s="477"/>
      <c r="FW65" s="477"/>
      <c r="FX65" s="477"/>
      <c r="FY65" s="477"/>
      <c r="FZ65" s="477"/>
      <c r="GA65" s="477"/>
      <c r="GB65" s="477"/>
      <c r="GC65" s="477"/>
      <c r="GD65" s="477"/>
      <c r="GE65" s="477"/>
      <c r="GF65" s="477"/>
      <c r="GG65" s="477"/>
      <c r="GH65" s="477"/>
      <c r="GI65" s="477"/>
      <c r="GJ65" s="477"/>
      <c r="GK65" s="477"/>
      <c r="GL65" s="477"/>
      <c r="GM65" s="477"/>
      <c r="GN65" s="477"/>
      <c r="GO65" s="477"/>
      <c r="GP65" s="477"/>
      <c r="GQ65" s="477"/>
      <c r="GR65" s="477"/>
      <c r="GS65" s="477"/>
      <c r="GT65" s="477"/>
      <c r="GU65" s="477"/>
      <c r="GV65" s="477"/>
      <c r="GW65" s="477"/>
      <c r="GX65" s="477"/>
      <c r="GY65" s="478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</row>
    <row r="66" spans="5:222" ht="30" hidden="1" customHeight="1" x14ac:dyDescent="0.2">
      <c r="E66" s="480">
        <f>1+E65</f>
        <v>73</v>
      </c>
      <c r="F66" s="481"/>
      <c r="G66" s="9"/>
      <c r="H66" s="480">
        <f>1+H65</f>
        <v>93</v>
      </c>
      <c r="I66" s="481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470">
        <v>10</v>
      </c>
      <c r="AY66" s="471"/>
      <c r="AZ66" s="471"/>
      <c r="BA66" s="472"/>
      <c r="BB66" s="476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8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76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470">
        <v>10</v>
      </c>
      <c r="EU66" s="471"/>
      <c r="EV66" s="471"/>
      <c r="EW66" s="472"/>
      <c r="EX66" s="476"/>
      <c r="EY66" s="477"/>
      <c r="EZ66" s="477"/>
      <c r="FA66" s="477"/>
      <c r="FB66" s="477"/>
      <c r="FC66" s="477"/>
      <c r="FD66" s="477"/>
      <c r="FE66" s="477"/>
      <c r="FF66" s="477"/>
      <c r="FG66" s="477"/>
      <c r="FH66" s="477"/>
      <c r="FI66" s="477"/>
      <c r="FJ66" s="477"/>
      <c r="FK66" s="477"/>
      <c r="FL66" s="477"/>
      <c r="FM66" s="477"/>
      <c r="FN66" s="477"/>
      <c r="FO66" s="477"/>
      <c r="FP66" s="477"/>
      <c r="FQ66" s="477"/>
      <c r="FR66" s="477"/>
      <c r="FS66" s="477"/>
      <c r="FT66" s="477"/>
      <c r="FU66" s="477"/>
      <c r="FV66" s="477"/>
      <c r="FW66" s="477"/>
      <c r="FX66" s="477"/>
      <c r="FY66" s="477"/>
      <c r="FZ66" s="477"/>
      <c r="GA66" s="477"/>
      <c r="GB66" s="477"/>
      <c r="GC66" s="477"/>
      <c r="GD66" s="477"/>
      <c r="GE66" s="477"/>
      <c r="GF66" s="477"/>
      <c r="GG66" s="477"/>
      <c r="GH66" s="477"/>
      <c r="GI66" s="477"/>
      <c r="GJ66" s="477"/>
      <c r="GK66" s="477"/>
      <c r="GL66" s="477"/>
      <c r="GM66" s="477"/>
      <c r="GN66" s="477"/>
      <c r="GO66" s="477"/>
      <c r="GP66" s="477"/>
      <c r="GQ66" s="477"/>
      <c r="GR66" s="477"/>
      <c r="GS66" s="477"/>
      <c r="GT66" s="477"/>
      <c r="GU66" s="477"/>
      <c r="GV66" s="477"/>
      <c r="GW66" s="477"/>
      <c r="GX66" s="477"/>
      <c r="GY66" s="478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</row>
    <row r="67" spans="5:222" ht="30" hidden="1" customHeight="1" x14ac:dyDescent="0.2"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479" t="s">
        <v>61</v>
      </c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23"/>
      <c r="DE67" s="23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76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479" t="s">
        <v>61</v>
      </c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19"/>
      <c r="HA67" s="19"/>
      <c r="HB67" s="23"/>
      <c r="HC67" s="23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</row>
    <row r="68" spans="5:222" ht="30" hidden="1" customHeight="1" x14ac:dyDescent="0.2"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468"/>
      <c r="AY68" s="468"/>
      <c r="AZ68" s="468"/>
      <c r="BA68" s="468"/>
      <c r="BB68" s="468"/>
      <c r="BC68" s="468"/>
      <c r="BD68" s="468"/>
      <c r="BE68" s="468"/>
      <c r="BF68" s="468"/>
      <c r="BG68" s="468"/>
      <c r="BH68" s="468"/>
      <c r="BI68" s="468"/>
      <c r="BJ68" s="468"/>
      <c r="BK68" s="468"/>
      <c r="BL68" s="468"/>
      <c r="BM68" s="468"/>
      <c r="BN68" s="468"/>
      <c r="BO68" s="468"/>
      <c r="BP68" s="468"/>
      <c r="BQ68" s="468"/>
      <c r="BR68" s="468"/>
      <c r="BS68" s="468"/>
      <c r="BT68" s="468"/>
      <c r="BU68" s="468"/>
      <c r="BV68" s="468"/>
      <c r="BW68" s="468"/>
      <c r="BX68" s="468"/>
      <c r="BY68" s="468"/>
      <c r="BZ68" s="468"/>
      <c r="CA68" s="468"/>
      <c r="CB68" s="468"/>
      <c r="CC68" s="468"/>
      <c r="CD68" s="468"/>
      <c r="CE68" s="468"/>
      <c r="CF68" s="468"/>
      <c r="CG68" s="468"/>
      <c r="CH68" s="468"/>
      <c r="CI68" s="468"/>
      <c r="CJ68" s="468"/>
      <c r="CK68" s="468"/>
      <c r="CL68" s="468"/>
      <c r="CM68" s="468"/>
      <c r="CN68" s="468"/>
      <c r="CO68" s="468"/>
      <c r="CP68" s="468"/>
      <c r="CQ68" s="468"/>
      <c r="CR68" s="468"/>
      <c r="CS68" s="468"/>
      <c r="CT68" s="468"/>
      <c r="CU68" s="468"/>
      <c r="CV68" s="468"/>
      <c r="CW68" s="468"/>
      <c r="CX68" s="468"/>
      <c r="CY68" s="468"/>
      <c r="CZ68" s="468"/>
      <c r="DA68" s="468"/>
      <c r="DB68" s="468"/>
      <c r="DC68" s="468"/>
      <c r="DD68" s="23"/>
      <c r="DE68" s="23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76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468"/>
      <c r="EU68" s="468"/>
      <c r="EV68" s="468"/>
      <c r="EW68" s="468"/>
      <c r="EX68" s="468"/>
      <c r="EY68" s="468"/>
      <c r="EZ68" s="468"/>
      <c r="FA68" s="468"/>
      <c r="FB68" s="468"/>
      <c r="FC68" s="468"/>
      <c r="FD68" s="468"/>
      <c r="FE68" s="468"/>
      <c r="FF68" s="468"/>
      <c r="FG68" s="468"/>
      <c r="FH68" s="468"/>
      <c r="FI68" s="468"/>
      <c r="FJ68" s="468"/>
      <c r="FK68" s="468"/>
      <c r="FL68" s="468"/>
      <c r="FM68" s="468"/>
      <c r="FN68" s="468"/>
      <c r="FO68" s="468"/>
      <c r="FP68" s="468"/>
      <c r="FQ68" s="468"/>
      <c r="FR68" s="468"/>
      <c r="FS68" s="468"/>
      <c r="FT68" s="468"/>
      <c r="FU68" s="468"/>
      <c r="FV68" s="468"/>
      <c r="FW68" s="468"/>
      <c r="FX68" s="468"/>
      <c r="FY68" s="468"/>
      <c r="FZ68" s="468"/>
      <c r="GA68" s="468"/>
      <c r="GB68" s="468"/>
      <c r="GC68" s="468"/>
      <c r="GD68" s="468"/>
      <c r="GE68" s="468"/>
      <c r="GF68" s="468"/>
      <c r="GG68" s="468"/>
      <c r="GH68" s="468"/>
      <c r="GI68" s="468"/>
      <c r="GJ68" s="468"/>
      <c r="GK68" s="468"/>
      <c r="GL68" s="468"/>
      <c r="GM68" s="468"/>
      <c r="GN68" s="468"/>
      <c r="GO68" s="468"/>
      <c r="GP68" s="468"/>
      <c r="GQ68" s="468"/>
      <c r="GR68" s="468"/>
      <c r="GS68" s="468"/>
      <c r="GT68" s="468"/>
      <c r="GU68" s="468"/>
      <c r="GV68" s="468"/>
      <c r="GW68" s="468"/>
      <c r="GX68" s="468"/>
      <c r="GY68" s="468"/>
      <c r="GZ68" s="23"/>
      <c r="HA68" s="23"/>
      <c r="HB68" s="23"/>
      <c r="HC68" s="23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</row>
    <row r="69" spans="5:222" ht="39.950000000000003" hidden="1" customHeight="1" x14ac:dyDescent="0.2"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470" t="s">
        <v>62</v>
      </c>
      <c r="AY69" s="471"/>
      <c r="AZ69" s="471"/>
      <c r="BA69" s="471"/>
      <c r="BB69" s="472"/>
      <c r="BC69" s="476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8"/>
      <c r="DD69" s="23"/>
      <c r="DE69" s="23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76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470" t="s">
        <v>63</v>
      </c>
      <c r="EU69" s="471"/>
      <c r="EV69" s="471"/>
      <c r="EW69" s="471"/>
      <c r="EX69" s="472"/>
      <c r="EY69" s="476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8"/>
      <c r="GZ69" s="86"/>
      <c r="HA69" s="86"/>
      <c r="HB69" s="23"/>
      <c r="HC69" s="23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</row>
    <row r="70" spans="5:222" ht="30" hidden="1" customHeight="1" x14ac:dyDescent="0.2"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34"/>
      <c r="DE70" s="34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76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22"/>
      <c r="HB70" s="34"/>
      <c r="HC70" s="34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</row>
    <row r="71" spans="5:222" ht="30" hidden="1" customHeight="1" x14ac:dyDescent="0.35"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468" t="s">
        <v>64</v>
      </c>
      <c r="AY71" s="468"/>
      <c r="AZ71" s="468"/>
      <c r="BA71" s="468"/>
      <c r="BB71" s="468"/>
      <c r="BC71" s="468"/>
      <c r="BD71" s="468"/>
      <c r="BE71" s="468"/>
      <c r="BF71" s="468"/>
      <c r="BG71" s="468"/>
      <c r="BH71" s="468"/>
      <c r="BI71" s="468"/>
      <c r="BJ71" s="468"/>
      <c r="BK71" s="468"/>
      <c r="BL71" s="468"/>
      <c r="BM71" s="468"/>
      <c r="BN71" s="468"/>
      <c r="BO71" s="468"/>
      <c r="BP71" s="468"/>
      <c r="BQ71" s="468"/>
      <c r="BR71" s="468"/>
      <c r="BS71" s="468"/>
      <c r="BT71" s="468"/>
      <c r="BU71" s="468"/>
      <c r="BV71" s="468"/>
      <c r="BW71" s="468"/>
      <c r="BX71" s="468"/>
      <c r="BY71" s="468"/>
      <c r="BZ71" s="468"/>
      <c r="CA71" s="468"/>
      <c r="CB71" s="468"/>
      <c r="CC71" s="468"/>
      <c r="CD71" s="468"/>
      <c r="CE71" s="468"/>
      <c r="CF71" s="468"/>
      <c r="CG71" s="468"/>
      <c r="CH71" s="468"/>
      <c r="CI71" s="468"/>
      <c r="CJ71" s="468"/>
      <c r="CK71" s="468"/>
      <c r="CL71" s="468"/>
      <c r="CM71" s="468"/>
      <c r="CN71" s="468"/>
      <c r="CO71" s="468"/>
      <c r="CP71" s="468"/>
      <c r="CQ71" s="468"/>
      <c r="CR71" s="468"/>
      <c r="CS71" s="468"/>
      <c r="CT71" s="468"/>
      <c r="CU71" s="468"/>
      <c r="CV71" s="468"/>
      <c r="CW71" s="468"/>
      <c r="CX71" s="468"/>
      <c r="CY71" s="468"/>
      <c r="CZ71" s="468"/>
      <c r="DA71" s="468"/>
      <c r="DB71" s="468"/>
      <c r="DC71" s="468"/>
      <c r="DD71" s="87"/>
      <c r="DE71" s="87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76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469" t="s">
        <v>64</v>
      </c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  <c r="FU71" s="469"/>
      <c r="FV71" s="469"/>
      <c r="FW71" s="469"/>
      <c r="FX71" s="469"/>
      <c r="FY71" s="469"/>
      <c r="FZ71" s="469"/>
      <c r="GA71" s="469"/>
      <c r="GB71" s="469"/>
      <c r="GC71" s="469"/>
      <c r="GD71" s="469"/>
      <c r="GE71" s="469"/>
      <c r="GF71" s="469"/>
      <c r="GG71" s="469"/>
      <c r="GH71" s="469"/>
      <c r="GI71" s="469"/>
      <c r="GJ71" s="469"/>
      <c r="GK71" s="469"/>
      <c r="GL71" s="469"/>
      <c r="GM71" s="469"/>
      <c r="GN71" s="469"/>
      <c r="GO71" s="469"/>
      <c r="GP71" s="469"/>
      <c r="GQ71" s="469"/>
      <c r="GR71" s="469"/>
      <c r="GS71" s="469"/>
      <c r="GT71" s="469"/>
      <c r="GU71" s="469"/>
      <c r="GV71" s="469"/>
      <c r="GW71" s="469"/>
      <c r="GX71" s="469"/>
      <c r="GY71" s="469"/>
      <c r="GZ71" s="469"/>
      <c r="HA71" s="19"/>
      <c r="HB71" s="87"/>
      <c r="HC71" s="87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</row>
    <row r="72" spans="5:222" ht="39.950000000000003" hidden="1" customHeight="1" x14ac:dyDescent="0.2"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470" t="s">
        <v>65</v>
      </c>
      <c r="AY72" s="471"/>
      <c r="AZ72" s="471"/>
      <c r="BA72" s="471"/>
      <c r="BB72" s="472"/>
      <c r="BC72" s="473">
        <f>AH24</f>
        <v>0</v>
      </c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474"/>
      <c r="CG72" s="474"/>
      <c r="CH72" s="474"/>
      <c r="CI72" s="474"/>
      <c r="CJ72" s="474"/>
      <c r="CK72" s="474"/>
      <c r="CL72" s="474"/>
      <c r="CM72" s="474"/>
      <c r="CN72" s="474"/>
      <c r="CO72" s="474"/>
      <c r="CP72" s="474"/>
      <c r="CQ72" s="474"/>
      <c r="CR72" s="474"/>
      <c r="CS72" s="474"/>
      <c r="CT72" s="474"/>
      <c r="CU72" s="474"/>
      <c r="CV72" s="474"/>
      <c r="CW72" s="474"/>
      <c r="CX72" s="474"/>
      <c r="CY72" s="474"/>
      <c r="CZ72" s="474"/>
      <c r="DA72" s="474"/>
      <c r="DB72" s="474"/>
      <c r="DC72" s="475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76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470" t="s">
        <v>66</v>
      </c>
      <c r="EU72" s="471"/>
      <c r="EV72" s="471"/>
      <c r="EW72" s="471"/>
      <c r="EX72" s="472"/>
      <c r="EY72" s="476">
        <f>CN24</f>
        <v>0</v>
      </c>
      <c r="EZ72" s="477"/>
      <c r="FA72" s="477"/>
      <c r="FB72" s="477"/>
      <c r="FC72" s="477"/>
      <c r="FD72" s="477"/>
      <c r="FE72" s="477"/>
      <c r="FF72" s="477"/>
      <c r="FG72" s="477"/>
      <c r="FH72" s="477"/>
      <c r="FI72" s="477"/>
      <c r="FJ72" s="477"/>
      <c r="FK72" s="477"/>
      <c r="FL72" s="477"/>
      <c r="FM72" s="477"/>
      <c r="FN72" s="477"/>
      <c r="FO72" s="477"/>
      <c r="FP72" s="477"/>
      <c r="FQ72" s="477"/>
      <c r="FR72" s="477"/>
      <c r="FS72" s="477"/>
      <c r="FT72" s="477"/>
      <c r="FU72" s="477"/>
      <c r="FV72" s="477"/>
      <c r="FW72" s="477"/>
      <c r="FX72" s="477"/>
      <c r="FY72" s="477"/>
      <c r="FZ72" s="477"/>
      <c r="GA72" s="477"/>
      <c r="GB72" s="477"/>
      <c r="GC72" s="477"/>
      <c r="GD72" s="477"/>
      <c r="GE72" s="477"/>
      <c r="GF72" s="477"/>
      <c r="GG72" s="477"/>
      <c r="GH72" s="477"/>
      <c r="GI72" s="477"/>
      <c r="GJ72" s="477"/>
      <c r="GK72" s="477"/>
      <c r="GL72" s="477"/>
      <c r="GM72" s="477"/>
      <c r="GN72" s="477"/>
      <c r="GO72" s="477"/>
      <c r="GP72" s="477"/>
      <c r="GQ72" s="477"/>
      <c r="GR72" s="477"/>
      <c r="GS72" s="477"/>
      <c r="GT72" s="477"/>
      <c r="GU72" s="477"/>
      <c r="GV72" s="477"/>
      <c r="GW72" s="477"/>
      <c r="GX72" s="477"/>
      <c r="GY72" s="478"/>
      <c r="GZ72" s="23"/>
      <c r="HA72" s="23"/>
      <c r="HB72" s="23"/>
      <c r="HC72" s="23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</row>
    <row r="73" spans="5:222" ht="20.25" hidden="1" customHeight="1" x14ac:dyDescent="0.3"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457" t="s">
        <v>67</v>
      </c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457"/>
      <c r="BW73" s="457"/>
      <c r="BX73" s="457"/>
      <c r="BY73" s="457"/>
      <c r="BZ73" s="457"/>
      <c r="CA73" s="457"/>
      <c r="CB73" s="457"/>
      <c r="CC73" s="457"/>
      <c r="CD73" s="457"/>
      <c r="CE73" s="457"/>
      <c r="CF73" s="457"/>
      <c r="CG73" s="457"/>
      <c r="CH73" s="457"/>
      <c r="CI73" s="457"/>
      <c r="CJ73" s="457"/>
      <c r="CK73" s="457"/>
      <c r="CL73" s="457"/>
      <c r="CM73" s="457"/>
      <c r="CN73" s="457"/>
      <c r="CO73" s="457"/>
      <c r="CP73" s="457"/>
      <c r="CQ73" s="457"/>
      <c r="CR73" s="457"/>
      <c r="CS73" s="457"/>
      <c r="CT73" s="457"/>
      <c r="CU73" s="457"/>
      <c r="CV73" s="457"/>
      <c r="CW73" s="457"/>
      <c r="CX73" s="457"/>
      <c r="CY73" s="457"/>
      <c r="CZ73" s="457"/>
      <c r="DA73" s="457"/>
      <c r="DB73" s="457"/>
      <c r="DC73" s="457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90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458" t="s">
        <v>68</v>
      </c>
      <c r="EW73" s="458"/>
      <c r="EX73" s="458"/>
      <c r="EY73" s="458"/>
      <c r="EZ73" s="458"/>
      <c r="FA73" s="458"/>
      <c r="FB73" s="458"/>
      <c r="FC73" s="458"/>
      <c r="FD73" s="458"/>
      <c r="FE73" s="458"/>
      <c r="FF73" s="458"/>
      <c r="FG73" s="458"/>
      <c r="FH73" s="458"/>
      <c r="FI73" s="458"/>
      <c r="FJ73" s="458"/>
      <c r="FK73" s="458"/>
      <c r="FL73" s="458"/>
      <c r="FM73" s="458"/>
      <c r="FN73" s="458"/>
      <c r="FO73" s="458"/>
      <c r="FP73" s="458"/>
      <c r="FQ73" s="458"/>
      <c r="FR73" s="458"/>
      <c r="FS73" s="458"/>
      <c r="FT73" s="458"/>
      <c r="FU73" s="458"/>
      <c r="FV73" s="458"/>
      <c r="FW73" s="458"/>
      <c r="FX73" s="458"/>
      <c r="FY73" s="458"/>
      <c r="FZ73" s="458"/>
      <c r="GA73" s="458"/>
      <c r="GB73" s="458"/>
      <c r="GC73" s="458"/>
      <c r="GD73" s="458"/>
      <c r="GE73" s="458"/>
      <c r="GF73" s="458"/>
      <c r="GG73" s="458"/>
      <c r="GH73" s="458"/>
      <c r="GI73" s="458"/>
      <c r="GJ73" s="458"/>
      <c r="GK73" s="458"/>
      <c r="GL73" s="458"/>
      <c r="GM73" s="458"/>
      <c r="GN73" s="458"/>
      <c r="GO73" s="458"/>
      <c r="GP73" s="458"/>
      <c r="GQ73" s="458"/>
      <c r="GR73" s="458"/>
      <c r="GS73" s="458"/>
      <c r="GT73" s="458"/>
      <c r="GU73" s="458"/>
      <c r="GV73" s="458"/>
      <c r="GW73" s="458"/>
      <c r="GX73" s="458"/>
      <c r="GY73" s="458"/>
      <c r="GZ73" s="458"/>
      <c r="HA73" s="458"/>
      <c r="HB73" s="23"/>
      <c r="HC73" s="23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</row>
    <row r="74" spans="5:222" ht="30" hidden="1" customHeight="1" x14ac:dyDescent="0.3"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  <c r="BM74" s="458"/>
      <c r="BN74" s="458"/>
      <c r="BO74" s="458"/>
      <c r="BP74" s="458"/>
      <c r="BQ74" s="458"/>
      <c r="BR74" s="458"/>
      <c r="BS74" s="458"/>
      <c r="BT74" s="458"/>
      <c r="BU74" s="458"/>
      <c r="BV74" s="458"/>
      <c r="BW74" s="458"/>
      <c r="BX74" s="458"/>
      <c r="BY74" s="458"/>
      <c r="BZ74" s="458"/>
      <c r="CA74" s="458"/>
      <c r="CB74" s="458"/>
      <c r="CC74" s="458"/>
      <c r="CD74" s="458"/>
      <c r="CE74" s="458"/>
      <c r="CF74" s="458"/>
      <c r="CG74" s="458"/>
      <c r="CH74" s="458"/>
      <c r="CI74" s="458"/>
      <c r="CJ74" s="458"/>
      <c r="CK74" s="458"/>
      <c r="CL74" s="458"/>
      <c r="CM74" s="458"/>
      <c r="CN74" s="458"/>
      <c r="CO74" s="458"/>
      <c r="CP74" s="458"/>
      <c r="CQ74" s="458"/>
      <c r="CR74" s="458"/>
      <c r="CS74" s="458"/>
      <c r="CT74" s="458"/>
      <c r="CU74" s="458"/>
      <c r="CV74" s="458"/>
      <c r="CW74" s="458"/>
      <c r="CX74" s="458"/>
      <c r="CY74" s="458"/>
      <c r="CZ74" s="458"/>
      <c r="DA74" s="458"/>
      <c r="DB74" s="458"/>
      <c r="DC74" s="458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90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458"/>
      <c r="EW74" s="458"/>
      <c r="EX74" s="458"/>
      <c r="EY74" s="458"/>
      <c r="EZ74" s="458"/>
      <c r="FA74" s="458"/>
      <c r="FB74" s="458"/>
      <c r="FC74" s="458"/>
      <c r="FD74" s="458"/>
      <c r="FE74" s="458"/>
      <c r="FF74" s="458"/>
      <c r="FG74" s="458"/>
      <c r="FH74" s="458"/>
      <c r="FI74" s="458"/>
      <c r="FJ74" s="458"/>
      <c r="FK74" s="458"/>
      <c r="FL74" s="458"/>
      <c r="FM74" s="458"/>
      <c r="FN74" s="458"/>
      <c r="FO74" s="458"/>
      <c r="FP74" s="458"/>
      <c r="FQ74" s="458"/>
      <c r="FR74" s="458"/>
      <c r="FS74" s="458"/>
      <c r="FT74" s="458"/>
      <c r="FU74" s="458"/>
      <c r="FV74" s="458"/>
      <c r="FW74" s="458"/>
      <c r="FX74" s="458"/>
      <c r="FY74" s="458"/>
      <c r="FZ74" s="458"/>
      <c r="GA74" s="458"/>
      <c r="GB74" s="458"/>
      <c r="GC74" s="458"/>
      <c r="GD74" s="458"/>
      <c r="GE74" s="458"/>
      <c r="GF74" s="458"/>
      <c r="GG74" s="458"/>
      <c r="GH74" s="458"/>
      <c r="GI74" s="458"/>
      <c r="GJ74" s="458"/>
      <c r="GK74" s="458"/>
      <c r="GL74" s="458"/>
      <c r="GM74" s="458"/>
      <c r="GN74" s="458"/>
      <c r="GO74" s="458"/>
      <c r="GP74" s="458"/>
      <c r="GQ74" s="458"/>
      <c r="GR74" s="458"/>
      <c r="GS74" s="458"/>
      <c r="GT74" s="458"/>
      <c r="GU74" s="458"/>
      <c r="GV74" s="458"/>
      <c r="GW74" s="458"/>
      <c r="GX74" s="458"/>
      <c r="GY74" s="458"/>
      <c r="GZ74" s="458"/>
      <c r="HA74" s="458"/>
      <c r="HB74" s="23"/>
      <c r="HC74" s="23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</row>
    <row r="75" spans="5:222" ht="20.25" hidden="1" x14ac:dyDescent="0.3"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459" t="s">
        <v>69</v>
      </c>
      <c r="AY75" s="459"/>
      <c r="AZ75" s="459"/>
      <c r="BA75" s="459"/>
      <c r="BB75" s="459"/>
      <c r="BC75" s="459"/>
      <c r="BD75" s="459"/>
      <c r="BE75" s="459"/>
      <c r="BF75" s="459"/>
      <c r="BG75" s="459"/>
      <c r="BH75" s="459"/>
      <c r="BI75" s="459"/>
      <c r="BJ75" s="459"/>
      <c r="BK75" s="459"/>
      <c r="BL75" s="459"/>
      <c r="BM75" s="459"/>
      <c r="BN75" s="459"/>
      <c r="BO75" s="459"/>
      <c r="BP75" s="459"/>
      <c r="BQ75" s="459"/>
      <c r="BR75" s="459"/>
      <c r="BS75" s="459"/>
      <c r="BT75" s="459"/>
      <c r="BU75" s="459"/>
      <c r="BV75" s="459"/>
      <c r="BW75" s="459"/>
      <c r="BX75" s="459"/>
      <c r="BY75" s="459"/>
      <c r="BZ75" s="459"/>
      <c r="CA75" s="459"/>
      <c r="CB75" s="459"/>
      <c r="CC75" s="459"/>
      <c r="CD75" s="459"/>
      <c r="CE75" s="459"/>
      <c r="CF75" s="459"/>
      <c r="CG75" s="459"/>
      <c r="CH75" s="459"/>
      <c r="CI75" s="459"/>
      <c r="CJ75" s="459"/>
      <c r="CK75" s="459"/>
      <c r="CL75" s="459"/>
      <c r="CM75" s="459"/>
      <c r="CN75" s="459"/>
      <c r="CO75" s="459"/>
      <c r="CP75" s="459"/>
      <c r="CQ75" s="459"/>
      <c r="CR75" s="459"/>
      <c r="CS75" s="459"/>
      <c r="CT75" s="459"/>
      <c r="CU75" s="459"/>
      <c r="CV75" s="459"/>
      <c r="CW75" s="459"/>
      <c r="CX75" s="459"/>
      <c r="CY75" s="459"/>
      <c r="CZ75" s="459"/>
      <c r="DA75" s="459"/>
      <c r="DB75" s="459"/>
      <c r="DC75" s="45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61"/>
      <c r="DU75" s="90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459" t="s">
        <v>69</v>
      </c>
      <c r="EW75" s="459"/>
      <c r="EX75" s="459"/>
      <c r="EY75" s="459"/>
      <c r="EZ75" s="459"/>
      <c r="FA75" s="459"/>
      <c r="FB75" s="459"/>
      <c r="FC75" s="459"/>
      <c r="FD75" s="459"/>
      <c r="FE75" s="459"/>
      <c r="FF75" s="459"/>
      <c r="FG75" s="459"/>
      <c r="FH75" s="459"/>
      <c r="FI75" s="459"/>
      <c r="FJ75" s="459"/>
      <c r="FK75" s="459"/>
      <c r="FL75" s="459"/>
      <c r="FM75" s="459"/>
      <c r="FN75" s="459"/>
      <c r="FO75" s="459"/>
      <c r="FP75" s="459"/>
      <c r="FQ75" s="459"/>
      <c r="FR75" s="459"/>
      <c r="FS75" s="459"/>
      <c r="FT75" s="459"/>
      <c r="FU75" s="459"/>
      <c r="FV75" s="459"/>
      <c r="FW75" s="459"/>
      <c r="FX75" s="459"/>
      <c r="FY75" s="459"/>
      <c r="FZ75" s="459"/>
      <c r="GA75" s="459"/>
      <c r="GB75" s="459"/>
      <c r="GC75" s="459"/>
      <c r="GD75" s="459"/>
      <c r="GE75" s="459"/>
      <c r="GF75" s="459"/>
      <c r="GG75" s="459"/>
      <c r="GH75" s="459"/>
      <c r="GI75" s="459"/>
      <c r="GJ75" s="459"/>
      <c r="GK75" s="459"/>
      <c r="GL75" s="459"/>
      <c r="GM75" s="459"/>
      <c r="GN75" s="459"/>
      <c r="GO75" s="459"/>
      <c r="GP75" s="459"/>
      <c r="GQ75" s="459"/>
      <c r="GR75" s="459"/>
      <c r="GS75" s="459"/>
      <c r="GT75" s="459"/>
      <c r="GU75" s="459"/>
      <c r="GV75" s="459"/>
      <c r="GW75" s="459"/>
      <c r="GX75" s="459"/>
      <c r="GY75" s="459"/>
      <c r="GZ75" s="459"/>
      <c r="HA75" s="459"/>
      <c r="HB75" s="23"/>
      <c r="HC75" s="23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</row>
    <row r="76" spans="5:222" hidden="1" x14ac:dyDescent="0.2"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76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</row>
    <row r="77" spans="5:222" hidden="1" x14ac:dyDescent="0.2"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460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61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76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460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61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</row>
    <row r="78" spans="5:222" hidden="1" x14ac:dyDescent="0.2"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462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4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76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462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4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</row>
    <row r="79" spans="5:222" hidden="1" x14ac:dyDescent="0.2"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462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4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76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462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4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</row>
    <row r="80" spans="5:222" hidden="1" x14ac:dyDescent="0.2"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462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4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76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462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4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</row>
    <row r="81" spans="1:222" hidden="1" x14ac:dyDescent="0.2"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462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4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76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462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4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</row>
    <row r="82" spans="1:222" hidden="1" x14ac:dyDescent="0.2"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462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4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76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462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4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</row>
    <row r="83" spans="1:222" hidden="1" x14ac:dyDescent="0.2"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462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4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19"/>
      <c r="CX83" s="19"/>
      <c r="CY83" s="19"/>
      <c r="CZ83" s="19"/>
      <c r="DA83" s="19"/>
      <c r="DB83" s="19"/>
      <c r="DC83" s="19"/>
      <c r="DD83" s="19"/>
      <c r="DE83" s="19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76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462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4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19"/>
      <c r="GT83" s="19"/>
      <c r="GU83" s="19"/>
      <c r="GV83" s="19"/>
      <c r="GW83" s="19"/>
      <c r="GX83" s="19"/>
      <c r="GY83" s="19"/>
      <c r="GZ83" s="86"/>
      <c r="HA83" s="86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</row>
    <row r="84" spans="1:222" hidden="1" x14ac:dyDescent="0.2"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465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K84" s="466"/>
      <c r="BL84" s="466"/>
      <c r="BM84" s="466"/>
      <c r="BN84" s="466"/>
      <c r="BO84" s="467"/>
      <c r="BP84" s="86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19"/>
      <c r="CX84" s="19"/>
      <c r="CY84" s="19"/>
      <c r="CZ84" s="19"/>
      <c r="DA84" s="19"/>
      <c r="DB84" s="19"/>
      <c r="DC84" s="19"/>
      <c r="DD84" s="19"/>
      <c r="DE84" s="19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76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465"/>
      <c r="EU84" s="466"/>
      <c r="EV84" s="466"/>
      <c r="EW84" s="466"/>
      <c r="EX84" s="466"/>
      <c r="EY84" s="466"/>
      <c r="EZ84" s="466"/>
      <c r="FA84" s="466"/>
      <c r="FB84" s="466"/>
      <c r="FC84" s="466"/>
      <c r="FD84" s="466"/>
      <c r="FE84" s="466"/>
      <c r="FF84" s="466"/>
      <c r="FG84" s="466"/>
      <c r="FH84" s="466"/>
      <c r="FI84" s="466"/>
      <c r="FJ84" s="466"/>
      <c r="FK84" s="467"/>
      <c r="FL84" s="86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19"/>
      <c r="GT84" s="19"/>
      <c r="GU84" s="19"/>
      <c r="GV84" s="19"/>
      <c r="GW84" s="19"/>
      <c r="GX84" s="19"/>
      <c r="GY84" s="19"/>
      <c r="GZ84" s="86"/>
      <c r="HA84" s="86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</row>
    <row r="85" spans="1:222" hidden="1" x14ac:dyDescent="0.2"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86"/>
      <c r="BQ85" s="456" t="s">
        <v>70</v>
      </c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19"/>
      <c r="DE85" s="19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76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19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86"/>
      <c r="FM85" s="456" t="s">
        <v>70</v>
      </c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86"/>
      <c r="HA85" s="86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</row>
    <row r="86" spans="1:222" hidden="1" x14ac:dyDescent="0.2">
      <c r="BU86" s="9"/>
      <c r="BV86" s="9"/>
      <c r="DU86" s="92"/>
      <c r="GZ86" s="32"/>
      <c r="HA86" s="32"/>
    </row>
    <row r="87" spans="1:222" hidden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BU87" s="9"/>
      <c r="BV87" s="9"/>
      <c r="GZ87" s="32"/>
      <c r="HA87" s="32"/>
    </row>
    <row r="88" spans="1:222" hidden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BU88" s="9"/>
      <c r="BV88" s="9"/>
      <c r="GZ88" s="32"/>
      <c r="HA88" s="32"/>
    </row>
    <row r="89" spans="1:222" hidden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BU89" s="9"/>
      <c r="BV89" s="9"/>
    </row>
    <row r="90" spans="1:222" hidden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BU90" s="9"/>
      <c r="BV90" s="9"/>
    </row>
    <row r="91" spans="1:222" hidden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BU91" s="9"/>
      <c r="BV91" s="9"/>
    </row>
    <row r="92" spans="1:222" hidden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22" hidden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22" hidden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22" hidden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22" hidden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idden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idden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idden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</sheetData>
  <mergeCells count="334">
    <mergeCell ref="BQ85:DC85"/>
    <mergeCell ref="FM85:GY85"/>
    <mergeCell ref="AX73:DC74"/>
    <mergeCell ref="EV73:HA74"/>
    <mergeCell ref="AX75:DC75"/>
    <mergeCell ref="EV75:HA75"/>
    <mergeCell ref="AX77:BO84"/>
    <mergeCell ref="ET77:FK84"/>
    <mergeCell ref="AX71:DC71"/>
    <mergeCell ref="ET71:GZ71"/>
    <mergeCell ref="AX72:BB72"/>
    <mergeCell ref="BC72:DC72"/>
    <mergeCell ref="ET72:EX72"/>
    <mergeCell ref="EY72:GY72"/>
    <mergeCell ref="AX67:DC68"/>
    <mergeCell ref="ET67:GY68"/>
    <mergeCell ref="AX69:BB69"/>
    <mergeCell ref="BC69:DC69"/>
    <mergeCell ref="ET69:EX69"/>
    <mergeCell ref="EY69:GY69"/>
    <mergeCell ref="E66:F66"/>
    <mergeCell ref="H66:I66"/>
    <mergeCell ref="AX66:BA66"/>
    <mergeCell ref="BB66:DC66"/>
    <mergeCell ref="ET66:EW66"/>
    <mergeCell ref="EX66:GY66"/>
    <mergeCell ref="E65:F65"/>
    <mergeCell ref="H65:I65"/>
    <mergeCell ref="AX65:BA65"/>
    <mergeCell ref="BB65:DC65"/>
    <mergeCell ref="ET65:EW65"/>
    <mergeCell ref="EX65:GY65"/>
    <mergeCell ref="E64:F64"/>
    <mergeCell ref="H64:I64"/>
    <mergeCell ref="AX64:BA64"/>
    <mergeCell ref="BB64:DC64"/>
    <mergeCell ref="ET64:EW64"/>
    <mergeCell ref="EX64:GY64"/>
    <mergeCell ref="E63:F63"/>
    <mergeCell ref="H63:I63"/>
    <mergeCell ref="AX63:BA63"/>
    <mergeCell ref="BB63:DC63"/>
    <mergeCell ref="ET63:EW63"/>
    <mergeCell ref="EX63:GY63"/>
    <mergeCell ref="E62:F62"/>
    <mergeCell ref="H62:I62"/>
    <mergeCell ref="AX62:BA62"/>
    <mergeCell ref="BB62:DC62"/>
    <mergeCell ref="ET62:EW62"/>
    <mergeCell ref="EX62:GY62"/>
    <mergeCell ref="E61:F61"/>
    <mergeCell ref="H61:I61"/>
    <mergeCell ref="AX61:BA61"/>
    <mergeCell ref="BB61:DC61"/>
    <mergeCell ref="ET61:EW61"/>
    <mergeCell ref="EX61:GY61"/>
    <mergeCell ref="E60:F60"/>
    <mergeCell ref="H60:I60"/>
    <mergeCell ref="AX60:BA60"/>
    <mergeCell ref="BB60:DC60"/>
    <mergeCell ref="ET60:EW60"/>
    <mergeCell ref="EX60:GY60"/>
    <mergeCell ref="E59:F59"/>
    <mergeCell ref="H59:I59"/>
    <mergeCell ref="AX59:BA59"/>
    <mergeCell ref="BB59:DC59"/>
    <mergeCell ref="ET59:EW59"/>
    <mergeCell ref="EX59:GY59"/>
    <mergeCell ref="E58:F58"/>
    <mergeCell ref="H58:I58"/>
    <mergeCell ref="AX58:BA58"/>
    <mergeCell ref="BB58:DC58"/>
    <mergeCell ref="ET58:EW58"/>
    <mergeCell ref="EX58:GY58"/>
    <mergeCell ref="AX53:DC53"/>
    <mergeCell ref="ET53:GY53"/>
    <mergeCell ref="AX55:DC56"/>
    <mergeCell ref="ET55:GY56"/>
    <mergeCell ref="E57:F57"/>
    <mergeCell ref="H57:I57"/>
    <mergeCell ref="AX57:BA57"/>
    <mergeCell ref="BB57:DC57"/>
    <mergeCell ref="ET57:EW57"/>
    <mergeCell ref="EX57:GY57"/>
    <mergeCell ref="AC34:DP34"/>
    <mergeCell ref="EA34:HN34"/>
    <mergeCell ref="AD36:HM36"/>
    <mergeCell ref="HD42:HM45"/>
    <mergeCell ref="AX52:DC52"/>
    <mergeCell ref="ET52:GY52"/>
    <mergeCell ref="AE30:CN30"/>
    <mergeCell ref="CT30:FC30"/>
    <mergeCell ref="B31:B32"/>
    <mergeCell ref="D31:D32"/>
    <mergeCell ref="AC32:CL33"/>
    <mergeCell ref="EA32:GJ33"/>
    <mergeCell ref="AH25:BM25"/>
    <mergeCell ref="CN25:DS25"/>
    <mergeCell ref="FD25:FX26"/>
    <mergeCell ref="FY25:GS26"/>
    <mergeCell ref="GT25:HN26"/>
    <mergeCell ref="FD27:HN27"/>
    <mergeCell ref="AH23:BM23"/>
    <mergeCell ref="CN23:DS23"/>
    <mergeCell ref="FD23:FX23"/>
    <mergeCell ref="FY23:GS23"/>
    <mergeCell ref="GT23:HN23"/>
    <mergeCell ref="AH24:BM24"/>
    <mergeCell ref="CN24:DS24"/>
    <mergeCell ref="FD24:FX24"/>
    <mergeCell ref="FY24:GS24"/>
    <mergeCell ref="GT24:HN24"/>
    <mergeCell ref="AC21:CH21"/>
    <mergeCell ref="CI21:GL21"/>
    <mergeCell ref="GM21:GS21"/>
    <mergeCell ref="GT21:GZ21"/>
    <mergeCell ref="HA21:HG21"/>
    <mergeCell ref="HH21:HN21"/>
    <mergeCell ref="GG20:GH20"/>
    <mergeCell ref="GI20:GL20"/>
    <mergeCell ref="GM20:GS20"/>
    <mergeCell ref="GT20:GZ20"/>
    <mergeCell ref="HA20:HG20"/>
    <mergeCell ref="HH20:HN20"/>
    <mergeCell ref="FM20:FN20"/>
    <mergeCell ref="FO20:FR20"/>
    <mergeCell ref="FS20:FV20"/>
    <mergeCell ref="FW20:FX20"/>
    <mergeCell ref="FY20:GB20"/>
    <mergeCell ref="GC20:GF20"/>
    <mergeCell ref="ES20:ET20"/>
    <mergeCell ref="EU20:EX20"/>
    <mergeCell ref="EY20:FB20"/>
    <mergeCell ref="FC20:FD20"/>
    <mergeCell ref="FE20:FH20"/>
    <mergeCell ref="FI20:FL20"/>
    <mergeCell ref="CI20:CM20"/>
    <mergeCell ref="CN20:DS20"/>
    <mergeCell ref="DT20:DZ20"/>
    <mergeCell ref="EA20:EG20"/>
    <mergeCell ref="EH20:EN20"/>
    <mergeCell ref="EO20:ER20"/>
    <mergeCell ref="GI19:GL19"/>
    <mergeCell ref="GM19:GS19"/>
    <mergeCell ref="GT19:GZ19"/>
    <mergeCell ref="ES19:ET19"/>
    <mergeCell ref="HA19:HG19"/>
    <mergeCell ref="HH19:HN19"/>
    <mergeCell ref="AC20:AG20"/>
    <mergeCell ref="AH20:BM20"/>
    <mergeCell ref="BN20:BT20"/>
    <mergeCell ref="BU20:CA20"/>
    <mergeCell ref="CB20:CH20"/>
    <mergeCell ref="FO19:FR19"/>
    <mergeCell ref="FS19:FV19"/>
    <mergeCell ref="FW19:FX19"/>
    <mergeCell ref="FY19:GB19"/>
    <mergeCell ref="GC19:GF19"/>
    <mergeCell ref="GG19:GH19"/>
    <mergeCell ref="EU19:EX19"/>
    <mergeCell ref="EY19:FB19"/>
    <mergeCell ref="FC19:FD19"/>
    <mergeCell ref="FE19:FH19"/>
    <mergeCell ref="FI19:FL19"/>
    <mergeCell ref="FM19:FN19"/>
    <mergeCell ref="CN19:DS19"/>
    <mergeCell ref="DT19:DZ19"/>
    <mergeCell ref="EA19:EG19"/>
    <mergeCell ref="EH19:EN19"/>
    <mergeCell ref="EO19:ER19"/>
    <mergeCell ref="GG18:GH18"/>
    <mergeCell ref="GI18:GL18"/>
    <mergeCell ref="GM18:GS18"/>
    <mergeCell ref="ES18:ET18"/>
    <mergeCell ref="EU18:EX18"/>
    <mergeCell ref="EY18:FB18"/>
    <mergeCell ref="FC18:FD18"/>
    <mergeCell ref="FE18:FH18"/>
    <mergeCell ref="FI18:FL18"/>
    <mergeCell ref="FO18:FR18"/>
    <mergeCell ref="FS18:FV18"/>
    <mergeCell ref="FW18:FX18"/>
    <mergeCell ref="FY18:GB18"/>
    <mergeCell ref="GC18:GF18"/>
    <mergeCell ref="AC19:AG19"/>
    <mergeCell ref="AH19:BM19"/>
    <mergeCell ref="BN19:BT19"/>
    <mergeCell ref="BU19:CA19"/>
    <mergeCell ref="CB19:CH19"/>
    <mergeCell ref="CI19:CM19"/>
    <mergeCell ref="CI18:CM18"/>
    <mergeCell ref="CN18:DS18"/>
    <mergeCell ref="DT18:DZ18"/>
    <mergeCell ref="EA18:EG18"/>
    <mergeCell ref="EH18:EN18"/>
    <mergeCell ref="EO18:ER18"/>
    <mergeCell ref="HH17:HN17"/>
    <mergeCell ref="AC18:AG18"/>
    <mergeCell ref="AH18:BM18"/>
    <mergeCell ref="BN18:BT18"/>
    <mergeCell ref="BU18:CA18"/>
    <mergeCell ref="CB18:CH18"/>
    <mergeCell ref="FO17:FR17"/>
    <mergeCell ref="FS17:FV17"/>
    <mergeCell ref="FW17:FX17"/>
    <mergeCell ref="FY17:GB17"/>
    <mergeCell ref="GC17:GF17"/>
    <mergeCell ref="GG17:GH17"/>
    <mergeCell ref="EU17:EX17"/>
    <mergeCell ref="EY17:FB17"/>
    <mergeCell ref="FC17:FD17"/>
    <mergeCell ref="FE17:FH17"/>
    <mergeCell ref="FI17:FL17"/>
    <mergeCell ref="FM17:FN17"/>
    <mergeCell ref="CN17:DS17"/>
    <mergeCell ref="DT17:DZ17"/>
    <mergeCell ref="GT18:GZ18"/>
    <mergeCell ref="HA18:HG18"/>
    <mergeCell ref="HH18:HN18"/>
    <mergeCell ref="FM18:FN18"/>
    <mergeCell ref="GM16:GS16"/>
    <mergeCell ref="GT16:GZ16"/>
    <mergeCell ref="HA16:HG16"/>
    <mergeCell ref="HH16:HN16"/>
    <mergeCell ref="AC17:AG17"/>
    <mergeCell ref="AH17:BM17"/>
    <mergeCell ref="BN17:BT17"/>
    <mergeCell ref="BU17:CA17"/>
    <mergeCell ref="CB17:CH17"/>
    <mergeCell ref="CI17:CM17"/>
    <mergeCell ref="FS16:FV16"/>
    <mergeCell ref="FW16:FX16"/>
    <mergeCell ref="FY16:GB16"/>
    <mergeCell ref="GC16:GF16"/>
    <mergeCell ref="GG16:GH16"/>
    <mergeCell ref="GI16:GL16"/>
    <mergeCell ref="EY16:FB16"/>
    <mergeCell ref="FC16:FD16"/>
    <mergeCell ref="FE16:FH16"/>
    <mergeCell ref="FI16:FL16"/>
    <mergeCell ref="GI17:GL17"/>
    <mergeCell ref="GM17:GS17"/>
    <mergeCell ref="GT17:GZ17"/>
    <mergeCell ref="HA17:HG17"/>
    <mergeCell ref="EA16:EG16"/>
    <mergeCell ref="EH16:EN16"/>
    <mergeCell ref="EO16:ER16"/>
    <mergeCell ref="ES16:ET16"/>
    <mergeCell ref="EU16:EX16"/>
    <mergeCell ref="GC15:GL15"/>
    <mergeCell ref="EA17:EG17"/>
    <mergeCell ref="EH17:EN17"/>
    <mergeCell ref="EO17:ER17"/>
    <mergeCell ref="ES17:ET17"/>
    <mergeCell ref="GM15:GZ15"/>
    <mergeCell ref="HA15:HN15"/>
    <mergeCell ref="EO15:EX15"/>
    <mergeCell ref="EY15:FH15"/>
    <mergeCell ref="FI15:FR15"/>
    <mergeCell ref="FS15:GB15"/>
    <mergeCell ref="FM16:FN16"/>
    <mergeCell ref="FO16:FR16"/>
    <mergeCell ref="AC16:AG16"/>
    <mergeCell ref="AH16:BM16"/>
    <mergeCell ref="BN16:BT16"/>
    <mergeCell ref="BU16:CA16"/>
    <mergeCell ref="CB16:CH16"/>
    <mergeCell ref="CI16:CM16"/>
    <mergeCell ref="CN16:DS16"/>
    <mergeCell ref="EA15:EG15"/>
    <mergeCell ref="EH15:EN15"/>
    <mergeCell ref="AC15:BM15"/>
    <mergeCell ref="BN15:BT15"/>
    <mergeCell ref="BU15:CA15"/>
    <mergeCell ref="CB15:CH15"/>
    <mergeCell ref="CI15:DS15"/>
    <mergeCell ref="DT15:DZ15"/>
    <mergeCell ref="DT16:DZ16"/>
    <mergeCell ref="HF13:HN13"/>
    <mergeCell ref="BZ12:CC12"/>
    <mergeCell ref="CD12:CH12"/>
    <mergeCell ref="CI12:DV12"/>
    <mergeCell ref="DW12:DZ12"/>
    <mergeCell ref="EA12:EE12"/>
    <mergeCell ref="EF12:EI12"/>
    <mergeCell ref="HF12:HN12"/>
    <mergeCell ref="HF10:HN10"/>
    <mergeCell ref="AC11:CH11"/>
    <mergeCell ref="CI11:EN11"/>
    <mergeCell ref="EP11:GI13"/>
    <mergeCell ref="GK11:GV11"/>
    <mergeCell ref="GW11:HE11"/>
    <mergeCell ref="HF11:HN11"/>
    <mergeCell ref="AC12:BP12"/>
    <mergeCell ref="BQ12:BT12"/>
    <mergeCell ref="BU12:BY12"/>
    <mergeCell ref="AC10:CH10"/>
    <mergeCell ref="CI10:EN10"/>
    <mergeCell ref="EP10:GI10"/>
    <mergeCell ref="GK10:GV10"/>
    <mergeCell ref="GW10:HE10"/>
    <mergeCell ref="A13:B14"/>
    <mergeCell ref="C13:D14"/>
    <mergeCell ref="AC13:CH13"/>
    <mergeCell ref="CI13:EN13"/>
    <mergeCell ref="GK13:HE13"/>
    <mergeCell ref="EX7:FY7"/>
    <mergeCell ref="AM8:DS8"/>
    <mergeCell ref="EJ12:EN12"/>
    <mergeCell ref="GK12:HE12"/>
    <mergeCell ref="A1:B1"/>
    <mergeCell ref="C1:D1"/>
    <mergeCell ref="E1:I9"/>
    <mergeCell ref="AC1:HN1"/>
    <mergeCell ref="AC2:HN2"/>
    <mergeCell ref="AC3:HN3"/>
    <mergeCell ref="BD4:CE4"/>
    <mergeCell ref="CF4:FK4"/>
    <mergeCell ref="FL4:GM4"/>
    <mergeCell ref="BR5:CS5"/>
    <mergeCell ref="CT5:DU5"/>
    <mergeCell ref="DV5:EW5"/>
    <mergeCell ref="EX5:FY5"/>
    <mergeCell ref="BR6:CS6"/>
    <mergeCell ref="CT6:DU6"/>
    <mergeCell ref="DV6:EW6"/>
    <mergeCell ref="DT8:DW8"/>
    <mergeCell ref="DX8:HD8"/>
    <mergeCell ref="EX6:FY6"/>
    <mergeCell ref="AM9:DS9"/>
    <mergeCell ref="DX9:HD9"/>
    <mergeCell ref="BR7:CS7"/>
    <mergeCell ref="CT7:DU7"/>
    <mergeCell ref="DV7:EW7"/>
  </mergeCells>
  <printOptions horizontalCentered="1"/>
  <pageMargins left="0" right="0" top="0.39370078740157483" bottom="0.39370078740157483" header="0.31496062992125984" footer="0.31496062992125984"/>
  <pageSetup paperSize="9" scale="57" firstPageNumber="0" orientation="landscape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97</vt:i4>
      </vt:variant>
    </vt:vector>
  </HeadingPairs>
  <TitlesOfParts>
    <vt:vector size="147" baseType="lpstr">
      <vt:lpstr>Табло</vt:lpstr>
      <vt:lpstr>Список</vt:lpstr>
      <vt:lpstr>Общее расписание</vt:lpstr>
      <vt:lpstr>Таблица</vt:lpstr>
      <vt:lpstr>Заявка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'5'!Print_Area</vt:lpstr>
      <vt:lpstr>'6'!Print_Area</vt:lpstr>
      <vt:lpstr>'7'!Print_Area</vt:lpstr>
      <vt:lpstr>'8'!Print_Area</vt:lpstr>
      <vt:lpstr>'9'!Print_Area</vt:lpstr>
      <vt:lpstr>Заявка!Print_Area</vt:lpstr>
      <vt:lpstr>'Общее расписание'!Print_Area</vt:lpstr>
      <vt:lpstr>Список!Заголовки_для_печати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Заявка!Область_печати</vt:lpstr>
      <vt:lpstr>'Общее расписание'!Область_печати</vt:lpstr>
      <vt:lpstr>Список!Область_печати</vt:lpstr>
      <vt:lpstr>Таблица!Область_печати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slava812</dc:creator>
  <cp:lastModifiedBy>user</cp:lastModifiedBy>
  <cp:lastPrinted>2023-10-29T11:58:37Z</cp:lastPrinted>
  <dcterms:created xsi:type="dcterms:W3CDTF">2012-06-04T12:25:05Z</dcterms:created>
  <dcterms:modified xsi:type="dcterms:W3CDTF">2023-10-29T14:22:57Z</dcterms:modified>
</cp:coreProperties>
</file>